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Lucas Regis\Documents\CONSTRUTORA SOUZA CAMPOS\03- OBRAS EM ANDAMENTO\01 - ESCOLA 06 SALAS MOGEIRO\MEDIÇÕES\BM04\"/>
    </mc:Choice>
  </mc:AlternateContent>
  <xr:revisionPtr revIDLastSave="0" documentId="8_{E7D68E3C-2431-407D-BCA4-03C0A1C92CD5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Orçamento Sintético" sheetId="1" r:id="rId1"/>
    <sheet name="BM 03" sheetId="5" state="hidden" r:id="rId2"/>
    <sheet name="MEMORIA DE CALCULO" sheetId="2" state="hidden" r:id="rId3"/>
    <sheet name="FOTOGRÁFICO" sheetId="3" state="hidden" r:id="rId4"/>
    <sheet name="BM 04" sheetId="9" r:id="rId5"/>
    <sheet name="MEMORIA DE CALCULO BM04" sheetId="10" r:id="rId6"/>
    <sheet name="FOTOGRÁFICO BM04" sheetId="11" r:id="rId7"/>
    <sheet name="REAJUSTE" sheetId="6" state="hidden" r:id="rId8"/>
  </sheets>
  <externalReferences>
    <externalReference r:id="rId9"/>
    <externalReference r:id="rId10"/>
    <externalReference r:id="rId11"/>
  </externalReferences>
  <definedNames>
    <definedName name="_xlnm._FilterDatabase" localSheetId="1" hidden="1">'BM 03'!$N$1:$N$330</definedName>
    <definedName name="_xlnm._FilterDatabase" localSheetId="4" hidden="1">'BM 04'!$N$1:$N$330</definedName>
    <definedName name="_xlnm.Print_Area" localSheetId="1">'BM 03'!$A$2:$M$329</definedName>
    <definedName name="_xlnm.Print_Area" localSheetId="4">'BM 04'!$A$2:$M$329</definedName>
    <definedName name="_xlnm.Print_Area" localSheetId="3">FOTOGRÁFICO!$A$1:$Q$162</definedName>
    <definedName name="_xlnm.Print_Area" localSheetId="6">'FOTOGRÁFICO BM04'!$A$1:$Q$182</definedName>
    <definedName name="_xlnm.Print_Area" localSheetId="2">'MEMORIA DE CALCULO'!$A$1:$I$478</definedName>
    <definedName name="_xlnm.Print_Area" localSheetId="5">'MEMORIA DE CALCULO BM04'!$A$1:$I$655</definedName>
    <definedName name="_xlnm.Print_Area" localSheetId="0">'Orçamento Sintético'!$A$1:$J$306</definedName>
    <definedName name="_xlnm.Print_Titles" localSheetId="1">'BM 03'!$16:$17</definedName>
    <definedName name="_xlnm.Print_Titles" localSheetId="4">'BM 04'!$16:$17</definedName>
    <definedName name="_xlnm.Print_Titles" localSheetId="3">FOTOGRÁFICO!$1:$1</definedName>
    <definedName name="_xlnm.Print_Titles" localSheetId="6">'FOTOGRÁFICO BM04'!$1:$1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2" roundtripDataChecksum="AfonDAxxJ6v9+VlHY0LIdt7OcYOs7CZwpcbXDCGeWEc="/>
    </ext>
  </extLst>
</workbook>
</file>

<file path=xl/calcChain.xml><?xml version="1.0" encoding="utf-8"?>
<calcChain xmlns="http://schemas.openxmlformats.org/spreadsheetml/2006/main">
  <c r="J58" i="9" l="1"/>
  <c r="J57" i="9" s="1"/>
  <c r="J45" i="9"/>
  <c r="J37" i="9"/>
  <c r="J36" i="9" s="1"/>
  <c r="K25" i="11"/>
  <c r="C25" i="11"/>
  <c r="K13" i="11"/>
  <c r="C13" i="11"/>
  <c r="F365" i="10"/>
  <c r="H332" i="10"/>
  <c r="H642" i="10"/>
  <c r="H639" i="10" s="1"/>
  <c r="H638" i="10"/>
  <c r="H636" i="10"/>
  <c r="E636" i="10"/>
  <c r="C636" i="10"/>
  <c r="H632" i="10"/>
  <c r="H629" i="10" s="1"/>
  <c r="H628" i="10"/>
  <c r="E626" i="10"/>
  <c r="C626" i="10"/>
  <c r="H622" i="10"/>
  <c r="H619" i="10" s="1"/>
  <c r="H618" i="10"/>
  <c r="E616" i="10"/>
  <c r="C616" i="10"/>
  <c r="H612" i="10"/>
  <c r="H609" i="10" s="1"/>
  <c r="H608" i="10"/>
  <c r="H606" i="10"/>
  <c r="E606" i="10"/>
  <c r="C606" i="10"/>
  <c r="H603" i="10"/>
  <c r="H600" i="10" s="1"/>
  <c r="H599" i="10"/>
  <c r="H601" i="10" s="1"/>
  <c r="E597" i="10"/>
  <c r="C597" i="10"/>
  <c r="H592" i="10"/>
  <c r="H589" i="10" s="1"/>
  <c r="H588" i="10"/>
  <c r="H590" i="10" s="1"/>
  <c r="E586" i="10"/>
  <c r="C586" i="10"/>
  <c r="H581" i="10"/>
  <c r="H578" i="10" s="1"/>
  <c r="H577" i="10"/>
  <c r="H575" i="10"/>
  <c r="E575" i="10"/>
  <c r="C575" i="10"/>
  <c r="H573" i="10"/>
  <c r="D572" i="10"/>
  <c r="H572" i="10" s="1"/>
  <c r="H571" i="10"/>
  <c r="H568" i="10" s="1"/>
  <c r="H567" i="10"/>
  <c r="E565" i="10"/>
  <c r="C565" i="10"/>
  <c r="H563" i="10"/>
  <c r="H556" i="10" s="1"/>
  <c r="D562" i="10"/>
  <c r="H562" i="10" s="1"/>
  <c r="H561" i="10"/>
  <c r="H560" i="10"/>
  <c r="D560" i="10"/>
  <c r="D559" i="10"/>
  <c r="H559" i="10" s="1"/>
  <c r="H555" i="10"/>
  <c r="H553" i="10"/>
  <c r="E553" i="10"/>
  <c r="C553" i="10"/>
  <c r="H551" i="10"/>
  <c r="H550" i="10"/>
  <c r="D550" i="10"/>
  <c r="H547" i="10"/>
  <c r="H537" i="10" s="1"/>
  <c r="G547" i="10"/>
  <c r="D546" i="10"/>
  <c r="H546" i="10" s="1"/>
  <c r="H545" i="10"/>
  <c r="E544" i="10"/>
  <c r="H544" i="10" s="1"/>
  <c r="H542" i="10"/>
  <c r="H541" i="10"/>
  <c r="H540" i="10"/>
  <c r="H536" i="10"/>
  <c r="E534" i="10"/>
  <c r="C534" i="10"/>
  <c r="H531" i="10"/>
  <c r="H530" i="10"/>
  <c r="H529" i="10"/>
  <c r="H528" i="10"/>
  <c r="H527" i="10"/>
  <c r="H526" i="10"/>
  <c r="H525" i="10"/>
  <c r="H524" i="10"/>
  <c r="G523" i="10"/>
  <c r="H523" i="10" s="1"/>
  <c r="G522" i="10"/>
  <c r="H522" i="10" s="1"/>
  <c r="G521" i="10"/>
  <c r="H521" i="10" s="1"/>
  <c r="G520" i="10"/>
  <c r="H520" i="10" s="1"/>
  <c r="H515" i="10"/>
  <c r="E513" i="10"/>
  <c r="C513" i="10"/>
  <c r="H505" i="10"/>
  <c r="H504" i="10"/>
  <c r="H502" i="10"/>
  <c r="E502" i="10"/>
  <c r="C502" i="10"/>
  <c r="H500" i="10"/>
  <c r="H499" i="10"/>
  <c r="H498" i="10"/>
  <c r="H497" i="10"/>
  <c r="H496" i="10"/>
  <c r="H495" i="10"/>
  <c r="H494" i="10"/>
  <c r="H493" i="10"/>
  <c r="H492" i="10"/>
  <c r="H491" i="10"/>
  <c r="H486" i="10"/>
  <c r="E484" i="10"/>
  <c r="C484" i="10"/>
  <c r="H480" i="10"/>
  <c r="H479" i="10"/>
  <c r="H478" i="10"/>
  <c r="H477" i="10"/>
  <c r="H476" i="10"/>
  <c r="H475" i="10"/>
  <c r="D475" i="10"/>
  <c r="H474" i="10"/>
  <c r="D473" i="10"/>
  <c r="H473" i="10" s="1"/>
  <c r="H472" i="10"/>
  <c r="D471" i="10"/>
  <c r="H471" i="10" s="1"/>
  <c r="H466" i="10"/>
  <c r="E464" i="10"/>
  <c r="C464" i="10"/>
  <c r="H461" i="10"/>
  <c r="H460" i="10"/>
  <c r="H454" i="10" s="1"/>
  <c r="H456" i="10"/>
  <c r="E454" i="10"/>
  <c r="C454" i="10"/>
  <c r="H452" i="10"/>
  <c r="H451" i="10"/>
  <c r="H450" i="10"/>
  <c r="G449" i="10"/>
  <c r="H449" i="10" s="1"/>
  <c r="H448" i="10"/>
  <c r="H447" i="10"/>
  <c r="H446" i="10"/>
  <c r="H445" i="10"/>
  <c r="H444" i="10"/>
  <c r="H443" i="10"/>
  <c r="H439" i="10"/>
  <c r="E437" i="10"/>
  <c r="C437" i="10"/>
  <c r="H432" i="10"/>
  <c r="H431" i="10"/>
  <c r="G430" i="10"/>
  <c r="H430" i="10" s="1"/>
  <c r="H429" i="10"/>
  <c r="H424" i="10"/>
  <c r="H423" i="10"/>
  <c r="E422" i="10"/>
  <c r="C422" i="10"/>
  <c r="H420" i="10"/>
  <c r="H419" i="10"/>
  <c r="H413" i="10" s="1"/>
  <c r="G419" i="10"/>
  <c r="H415" i="10"/>
  <c r="E413" i="10"/>
  <c r="C413" i="10"/>
  <c r="H410" i="10"/>
  <c r="G409" i="10"/>
  <c r="H409" i="10" s="1"/>
  <c r="H405" i="10"/>
  <c r="E403" i="10"/>
  <c r="C403" i="10"/>
  <c r="H401" i="10"/>
  <c r="H398" i="10" s="1"/>
  <c r="H397" i="10"/>
  <c r="H399" i="10" s="1"/>
  <c r="H395" i="10"/>
  <c r="E395" i="10"/>
  <c r="C395" i="10"/>
  <c r="H393" i="10"/>
  <c r="G392" i="10"/>
  <c r="H392" i="10" s="1"/>
  <c r="H388" i="10"/>
  <c r="E386" i="10"/>
  <c r="C386" i="10"/>
  <c r="H383" i="10"/>
  <c r="H380" i="10" s="1"/>
  <c r="H379" i="10"/>
  <c r="E377" i="10"/>
  <c r="C377" i="10"/>
  <c r="H375" i="10"/>
  <c r="G374" i="10"/>
  <c r="H374" i="10" s="1"/>
  <c r="H370" i="10"/>
  <c r="E368" i="10"/>
  <c r="C368" i="10"/>
  <c r="H365" i="10"/>
  <c r="H364" i="10"/>
  <c r="H363" i="10"/>
  <c r="H362" i="10"/>
  <c r="H361" i="10"/>
  <c r="H360" i="10"/>
  <c r="H359" i="10"/>
  <c r="H358" i="10"/>
  <c r="H355" i="10"/>
  <c r="H354" i="10"/>
  <c r="H352" i="10"/>
  <c r="E352" i="10"/>
  <c r="C352" i="10"/>
  <c r="H350" i="10"/>
  <c r="H349" i="10"/>
  <c r="H348" i="10"/>
  <c r="H347" i="10"/>
  <c r="H346" i="10"/>
  <c r="H345" i="10"/>
  <c r="H344" i="10"/>
  <c r="H343" i="10"/>
  <c r="H342" i="10"/>
  <c r="H338" i="10"/>
  <c r="E336" i="10"/>
  <c r="C336" i="10"/>
  <c r="H324" i="10"/>
  <c r="H331" i="10"/>
  <c r="H325" i="10" s="1"/>
  <c r="H327" i="10"/>
  <c r="H326" i="10"/>
  <c r="E324" i="10"/>
  <c r="C324" i="10"/>
  <c r="H322" i="10"/>
  <c r="H321" i="10"/>
  <c r="H320" i="10"/>
  <c r="H319" i="10"/>
  <c r="H318" i="10"/>
  <c r="H317" i="10"/>
  <c r="H316" i="10"/>
  <c r="H315" i="10"/>
  <c r="H311" i="10"/>
  <c r="E309" i="10"/>
  <c r="C309" i="10"/>
  <c r="H307" i="10"/>
  <c r="H304" i="10" s="1"/>
  <c r="H303" i="10"/>
  <c r="E301" i="10"/>
  <c r="C301" i="10"/>
  <c r="D300" i="10"/>
  <c r="F300" i="10" s="1"/>
  <c r="H300" i="10" s="1"/>
  <c r="F299" i="10"/>
  <c r="H299" i="10" s="1"/>
  <c r="D298" i="10"/>
  <c r="F298" i="10" s="1"/>
  <c r="H298" i="10" s="1"/>
  <c r="F297" i="10"/>
  <c r="H297" i="10" s="1"/>
  <c r="D296" i="10"/>
  <c r="F296" i="10" s="1"/>
  <c r="H296" i="10" s="1"/>
  <c r="F295" i="10"/>
  <c r="H295" i="10" s="1"/>
  <c r="H293" i="10"/>
  <c r="H289" i="10"/>
  <c r="E287" i="10"/>
  <c r="C287" i="10"/>
  <c r="H281" i="10"/>
  <c r="H272" i="10" s="1"/>
  <c r="H280" i="10"/>
  <c r="H279" i="10"/>
  <c r="H278" i="10"/>
  <c r="H274" i="10"/>
  <c r="E272" i="10"/>
  <c r="C272" i="10"/>
  <c r="H253" i="10"/>
  <c r="H269" i="10"/>
  <c r="H268" i="10"/>
  <c r="G268" i="10"/>
  <c r="H267" i="10"/>
  <c r="H266" i="10"/>
  <c r="H265" i="10"/>
  <c r="H264" i="10"/>
  <c r="H263" i="10"/>
  <c r="H262" i="10"/>
  <c r="H261" i="10"/>
  <c r="H260" i="10"/>
  <c r="H259" i="10"/>
  <c r="H258" i="10"/>
  <c r="H257" i="10"/>
  <c r="H256" i="10"/>
  <c r="H252" i="10"/>
  <c r="H250" i="10"/>
  <c r="E250" i="10"/>
  <c r="C250" i="10"/>
  <c r="H246" i="10"/>
  <c r="H243" i="10" s="1"/>
  <c r="H242" i="10"/>
  <c r="E240" i="10"/>
  <c r="C240" i="10"/>
  <c r="H234" i="10"/>
  <c r="H231" i="10" s="1"/>
  <c r="F234" i="10"/>
  <c r="H230" i="10"/>
  <c r="E228" i="10"/>
  <c r="C228" i="10"/>
  <c r="H225" i="10"/>
  <c r="H222" i="10" s="1"/>
  <c r="H221" i="10"/>
  <c r="H219" i="10"/>
  <c r="E219" i="10"/>
  <c r="C219" i="10"/>
  <c r="H216" i="10"/>
  <c r="H213" i="10" s="1"/>
  <c r="H212" i="10"/>
  <c r="H210" i="10"/>
  <c r="E210" i="10"/>
  <c r="C210" i="10"/>
  <c r="G208" i="10"/>
  <c r="H208" i="10" s="1"/>
  <c r="F208" i="10"/>
  <c r="G207" i="10"/>
  <c r="F207" i="10"/>
  <c r="D207" i="10"/>
  <c r="G206" i="10"/>
  <c r="F206" i="10"/>
  <c r="D206" i="10"/>
  <c r="G205" i="10"/>
  <c r="F205" i="10"/>
  <c r="D205" i="10"/>
  <c r="H201" i="10"/>
  <c r="H197" i="10"/>
  <c r="E195" i="10"/>
  <c r="C195" i="10"/>
  <c r="H191" i="10"/>
  <c r="H190" i="10"/>
  <c r="H189" i="10"/>
  <c r="H188" i="10"/>
  <c r="G187" i="10"/>
  <c r="H187" i="10" s="1"/>
  <c r="H186" i="10"/>
  <c r="G186" i="10"/>
  <c r="H185" i="10"/>
  <c r="H184" i="10"/>
  <c r="H183" i="10"/>
  <c r="H182" i="10"/>
  <c r="H181" i="10"/>
  <c r="H180" i="10"/>
  <c r="H179" i="10"/>
  <c r="H178" i="10"/>
  <c r="H177" i="10"/>
  <c r="H176" i="10"/>
  <c r="H175" i="10"/>
  <c r="H174" i="10"/>
  <c r="D172" i="10"/>
  <c r="G171" i="10"/>
  <c r="L170" i="10"/>
  <c r="H167" i="10"/>
  <c r="E165" i="10"/>
  <c r="C165" i="10"/>
  <c r="H160" i="10"/>
  <c r="H157" i="10" s="1"/>
  <c r="H156" i="10"/>
  <c r="E154" i="10"/>
  <c r="C154" i="10"/>
  <c r="H152" i="10"/>
  <c r="H151" i="10"/>
  <c r="H150" i="10"/>
  <c r="H146" i="10"/>
  <c r="E144" i="10"/>
  <c r="C144" i="10"/>
  <c r="D138" i="10"/>
  <c r="D136" i="10"/>
  <c r="H132" i="10"/>
  <c r="F131" i="10"/>
  <c r="H131" i="10" s="1"/>
  <c r="H118" i="10" s="1"/>
  <c r="D127" i="10"/>
  <c r="H127" i="10" s="1"/>
  <c r="H126" i="10"/>
  <c r="H125" i="10"/>
  <c r="H124" i="10"/>
  <c r="H120" i="10"/>
  <c r="E118" i="10"/>
  <c r="C118" i="10"/>
  <c r="H114" i="10"/>
  <c r="H113" i="10"/>
  <c r="G112" i="10"/>
  <c r="H112" i="10" s="1"/>
  <c r="H111" i="10"/>
  <c r="H110" i="10"/>
  <c r="H108" i="10"/>
  <c r="H107" i="10"/>
  <c r="H103" i="10"/>
  <c r="C101" i="10"/>
  <c r="D97" i="10"/>
  <c r="H97" i="10" s="1"/>
  <c r="F96" i="10"/>
  <c r="D96" i="10"/>
  <c r="F95" i="10"/>
  <c r="H95" i="10" s="1"/>
  <c r="D95" i="10"/>
  <c r="H94" i="10"/>
  <c r="F94" i="10"/>
  <c r="D94" i="10"/>
  <c r="H92" i="10"/>
  <c r="H91" i="10"/>
  <c r="H87" i="10"/>
  <c r="E85" i="10"/>
  <c r="C85" i="10"/>
  <c r="H83" i="10"/>
  <c r="H80" i="10" s="1"/>
  <c r="H79" i="10"/>
  <c r="C77" i="10"/>
  <c r="H75" i="10"/>
  <c r="H72" i="10" s="1"/>
  <c r="H71" i="10"/>
  <c r="C69" i="10"/>
  <c r="H67" i="10"/>
  <c r="H64" i="10" s="1"/>
  <c r="H63" i="10"/>
  <c r="C61" i="10"/>
  <c r="H59" i="10"/>
  <c r="H56" i="10" s="1"/>
  <c r="H55" i="10"/>
  <c r="H53" i="10" s="1"/>
  <c r="C53" i="10"/>
  <c r="H51" i="10"/>
  <c r="H48" i="10" s="1"/>
  <c r="H49" i="10" s="1"/>
  <c r="H45" i="10"/>
  <c r="C45" i="10"/>
  <c r="H43" i="10"/>
  <c r="H40" i="10" s="1"/>
  <c r="H41" i="10" s="1"/>
  <c r="C37" i="10"/>
  <c r="H35" i="10"/>
  <c r="H32" i="10" s="1"/>
  <c r="H33" i="10" s="1"/>
  <c r="C29" i="10"/>
  <c r="H27" i="10"/>
  <c r="H21" i="10" s="1"/>
  <c r="C21" i="10"/>
  <c r="H16" i="10"/>
  <c r="H13" i="10"/>
  <c r="H12" i="10"/>
  <c r="H10" i="10"/>
  <c r="C10" i="10"/>
  <c r="I67" i="9"/>
  <c r="N67" i="9"/>
  <c r="K178" i="11"/>
  <c r="C178" i="11"/>
  <c r="K166" i="11"/>
  <c r="C166" i="11"/>
  <c r="K154" i="11"/>
  <c r="C154" i="11"/>
  <c r="K142" i="11"/>
  <c r="C142" i="11"/>
  <c r="K130" i="11"/>
  <c r="C130" i="11"/>
  <c r="K117" i="11"/>
  <c r="C117" i="11"/>
  <c r="K104" i="11"/>
  <c r="C104" i="11"/>
  <c r="K91" i="11"/>
  <c r="C91" i="11"/>
  <c r="K78" i="11"/>
  <c r="C78" i="11"/>
  <c r="K65" i="11"/>
  <c r="C65" i="11"/>
  <c r="K52" i="11"/>
  <c r="C52" i="11"/>
  <c r="K39" i="11"/>
  <c r="C39" i="11"/>
  <c r="R432" i="10"/>
  <c r="N221" i="10"/>
  <c r="N219" i="10"/>
  <c r="H76" i="9"/>
  <c r="H14" i="10" l="1"/>
  <c r="H65" i="10"/>
  <c r="H158" i="10"/>
  <c r="H440" i="10"/>
  <c r="H437" i="10"/>
  <c r="H457" i="10"/>
  <c r="H458" i="10" s="1"/>
  <c r="H569" i="10"/>
  <c r="H597" i="10"/>
  <c r="H626" i="10"/>
  <c r="H205" i="10"/>
  <c r="H198" i="10" s="1"/>
  <c r="H199" i="10" s="1"/>
  <c r="H506" i="10"/>
  <c r="H565" i="10"/>
  <c r="H610" i="10"/>
  <c r="H640" i="10"/>
  <c r="H579" i="10"/>
  <c r="H206" i="10"/>
  <c r="H534" i="10"/>
  <c r="H165" i="10"/>
  <c r="H168" i="10" s="1"/>
  <c r="H169" i="10" s="1"/>
  <c r="H207" i="10"/>
  <c r="H485" i="10"/>
  <c r="H586" i="10"/>
  <c r="H616" i="10"/>
  <c r="H96" i="10"/>
  <c r="H240" i="10"/>
  <c r="H377" i="10"/>
  <c r="H620" i="10"/>
  <c r="H464" i="10"/>
  <c r="H484" i="10"/>
  <c r="H554" i="10"/>
  <c r="H557" i="10" s="1"/>
  <c r="H535" i="10"/>
  <c r="H538" i="10"/>
  <c r="H465" i="10"/>
  <c r="H438" i="10"/>
  <c r="H328" i="10"/>
  <c r="H232" i="10"/>
  <c r="H24" i="10"/>
  <c r="H25" i="10" s="1"/>
  <c r="H77" i="10"/>
  <c r="H147" i="10"/>
  <c r="H148" i="10" s="1"/>
  <c r="H61" i="10"/>
  <c r="H81" i="10"/>
  <c r="H85" i="10"/>
  <c r="H154" i="10"/>
  <c r="H223" i="10"/>
  <c r="H244" i="10"/>
  <c r="H301" i="10"/>
  <c r="H336" i="10"/>
  <c r="H69" i="10"/>
  <c r="H88" i="10"/>
  <c r="H89" i="10" s="1"/>
  <c r="H121" i="10"/>
  <c r="H122" i="10" s="1"/>
  <c r="H144" i="10"/>
  <c r="H275" i="10"/>
  <c r="H276" i="10" s="1"/>
  <c r="H286" i="10" s="1"/>
  <c r="H287" i="10"/>
  <c r="H309" i="10"/>
  <c r="H29" i="10"/>
  <c r="H73" i="10"/>
  <c r="H104" i="10"/>
  <c r="H105" i="10" s="1"/>
  <c r="H251" i="10"/>
  <c r="H254" i="10" s="1"/>
  <c r="H312" i="10"/>
  <c r="H313" i="10" s="1"/>
  <c r="H339" i="10"/>
  <c r="H340" i="10" s="1"/>
  <c r="H353" i="10"/>
  <c r="H356" i="10" s="1"/>
  <c r="H214" i="10"/>
  <c r="H290" i="10"/>
  <c r="H291" i="10" s="1"/>
  <c r="H371" i="10"/>
  <c r="H372" i="10" s="1"/>
  <c r="H368" i="10"/>
  <c r="H403" i="10"/>
  <c r="H406" i="10"/>
  <c r="H407" i="10" s="1"/>
  <c r="H630" i="10"/>
  <c r="H101" i="10"/>
  <c r="H381" i="10"/>
  <c r="H425" i="10"/>
  <c r="H426" i="10" s="1"/>
  <c r="H422" i="10"/>
  <c r="H441" i="10"/>
  <c r="H516" i="10"/>
  <c r="H513" i="10"/>
  <c r="H305" i="10"/>
  <c r="H386" i="10"/>
  <c r="H389" i="10"/>
  <c r="H390" i="10" s="1"/>
  <c r="H514" i="10"/>
  <c r="H517" i="10" s="1"/>
  <c r="H37" i="10"/>
  <c r="H228" i="10"/>
  <c r="H416" i="10"/>
  <c r="H417" i="10" s="1"/>
  <c r="H467" i="10"/>
  <c r="H487" i="10"/>
  <c r="H57" i="10"/>
  <c r="I66" i="9"/>
  <c r="N66" i="9" s="1"/>
  <c r="J21" i="9"/>
  <c r="L21" i="9" s="1"/>
  <c r="M21" i="9" s="1"/>
  <c r="J22" i="9"/>
  <c r="J23" i="9"/>
  <c r="J24" i="9"/>
  <c r="J25" i="9"/>
  <c r="L25" i="9" s="1"/>
  <c r="J26" i="9"/>
  <c r="J27" i="9"/>
  <c r="J28" i="9"/>
  <c r="J29" i="9"/>
  <c r="J20" i="9"/>
  <c r="I322" i="9"/>
  <c r="H322" i="9"/>
  <c r="E322" i="9"/>
  <c r="J322" i="9" s="1"/>
  <c r="K314" i="9"/>
  <c r="J314" i="9"/>
  <c r="L314" i="9" s="1"/>
  <c r="I314" i="9"/>
  <c r="F314" i="9"/>
  <c r="K313" i="9"/>
  <c r="J313" i="9"/>
  <c r="I313" i="9"/>
  <c r="F313" i="9"/>
  <c r="K311" i="9"/>
  <c r="J311" i="9"/>
  <c r="L311" i="9" s="1"/>
  <c r="M311" i="9" s="1"/>
  <c r="I311" i="9"/>
  <c r="N310" i="9"/>
  <c r="K310" i="9"/>
  <c r="J310" i="9"/>
  <c r="I310" i="9"/>
  <c r="K309" i="9"/>
  <c r="J309" i="9"/>
  <c r="L309" i="9" s="1"/>
  <c r="M309" i="9" s="1"/>
  <c r="I309" i="9"/>
  <c r="N309" i="9" s="1"/>
  <c r="K308" i="9"/>
  <c r="K304" i="9" s="1"/>
  <c r="J308" i="9"/>
  <c r="I308" i="9"/>
  <c r="N308" i="9" s="1"/>
  <c r="K307" i="9"/>
  <c r="J307" i="9"/>
  <c r="L307" i="9" s="1"/>
  <c r="M307" i="9" s="1"/>
  <c r="I307" i="9"/>
  <c r="N307" i="9" s="1"/>
  <c r="N306" i="9"/>
  <c r="K306" i="9"/>
  <c r="J306" i="9"/>
  <c r="I306" i="9"/>
  <c r="K305" i="9"/>
  <c r="L305" i="9" s="1"/>
  <c r="M305" i="9" s="1"/>
  <c r="J305" i="9"/>
  <c r="I305" i="9"/>
  <c r="N305" i="9" s="1"/>
  <c r="F304" i="9"/>
  <c r="M304" i="9" s="1"/>
  <c r="N303" i="9"/>
  <c r="K303" i="9"/>
  <c r="J303" i="9"/>
  <c r="I303" i="9"/>
  <c r="K302" i="9"/>
  <c r="L302" i="9" s="1"/>
  <c r="M302" i="9" s="1"/>
  <c r="J302" i="9"/>
  <c r="I302" i="9"/>
  <c r="N302" i="9" s="1"/>
  <c r="K301" i="9"/>
  <c r="J301" i="9"/>
  <c r="I301" i="9"/>
  <c r="N301" i="9" s="1"/>
  <c r="L300" i="9"/>
  <c r="M300" i="9" s="1"/>
  <c r="K300" i="9"/>
  <c r="J300" i="9"/>
  <c r="I300" i="9"/>
  <c r="N300" i="9" s="1"/>
  <c r="N299" i="9"/>
  <c r="K299" i="9"/>
  <c r="J299" i="9"/>
  <c r="I299" i="9"/>
  <c r="F298" i="9"/>
  <c r="N296" i="9"/>
  <c r="K296" i="9"/>
  <c r="J296" i="9"/>
  <c r="L296" i="9" s="1"/>
  <c r="M296" i="9" s="1"/>
  <c r="I296" i="9"/>
  <c r="K295" i="9"/>
  <c r="J295" i="9"/>
  <c r="I295" i="9"/>
  <c r="N295" i="9" s="1"/>
  <c r="K294" i="9"/>
  <c r="J294" i="9"/>
  <c r="I294" i="9"/>
  <c r="N294" i="9" s="1"/>
  <c r="K293" i="9"/>
  <c r="J293" i="9"/>
  <c r="L293" i="9" s="1"/>
  <c r="M293" i="9" s="1"/>
  <c r="I293" i="9"/>
  <c r="N293" i="9" s="1"/>
  <c r="N292" i="9"/>
  <c r="K292" i="9"/>
  <c r="J292" i="9"/>
  <c r="I292" i="9"/>
  <c r="N291" i="9"/>
  <c r="K291" i="9"/>
  <c r="L291" i="9" s="1"/>
  <c r="M291" i="9" s="1"/>
  <c r="J291" i="9"/>
  <c r="I291" i="9"/>
  <c r="K290" i="9"/>
  <c r="J290" i="9"/>
  <c r="I290" i="9"/>
  <c r="N290" i="9" s="1"/>
  <c r="K289" i="9"/>
  <c r="J289" i="9"/>
  <c r="L289" i="9" s="1"/>
  <c r="M289" i="9" s="1"/>
  <c r="I289" i="9"/>
  <c r="N289" i="9" s="1"/>
  <c r="N288" i="9"/>
  <c r="K288" i="9"/>
  <c r="J288" i="9"/>
  <c r="I288" i="9"/>
  <c r="F287" i="9"/>
  <c r="M287" i="9" s="1"/>
  <c r="K286" i="9"/>
  <c r="J286" i="9"/>
  <c r="L286" i="9" s="1"/>
  <c r="M286" i="9" s="1"/>
  <c r="I286" i="9"/>
  <c r="N286" i="9" s="1"/>
  <c r="N285" i="9"/>
  <c r="K285" i="9"/>
  <c r="J285" i="9"/>
  <c r="I285" i="9"/>
  <c r="K284" i="9"/>
  <c r="J284" i="9"/>
  <c r="I284" i="9"/>
  <c r="N284" i="9" s="1"/>
  <c r="K283" i="9"/>
  <c r="J283" i="9"/>
  <c r="I283" i="9"/>
  <c r="N283" i="9" s="1"/>
  <c r="N282" i="9"/>
  <c r="M282" i="9"/>
  <c r="K281" i="9"/>
  <c r="J281" i="9"/>
  <c r="I281" i="9"/>
  <c r="N281" i="9" s="1"/>
  <c r="K280" i="9"/>
  <c r="J280" i="9"/>
  <c r="I280" i="9"/>
  <c r="N280" i="9" s="1"/>
  <c r="K279" i="9"/>
  <c r="J279" i="9"/>
  <c r="L279" i="9" s="1"/>
  <c r="M279" i="9" s="1"/>
  <c r="I279" i="9"/>
  <c r="N279" i="9" s="1"/>
  <c r="K278" i="9"/>
  <c r="J278" i="9"/>
  <c r="I278" i="9"/>
  <c r="N278" i="9" s="1"/>
  <c r="K277" i="9"/>
  <c r="J277" i="9"/>
  <c r="I277" i="9"/>
  <c r="N277" i="9" s="1"/>
  <c r="K276" i="9"/>
  <c r="J276" i="9"/>
  <c r="L276" i="9" s="1"/>
  <c r="I276" i="9"/>
  <c r="N276" i="9" s="1"/>
  <c r="F275" i="9"/>
  <c r="K274" i="9"/>
  <c r="J274" i="9"/>
  <c r="I274" i="9"/>
  <c r="N274" i="9" s="1"/>
  <c r="K273" i="9"/>
  <c r="J273" i="9"/>
  <c r="L273" i="9" s="1"/>
  <c r="M273" i="9" s="1"/>
  <c r="I273" i="9"/>
  <c r="N273" i="9" s="1"/>
  <c r="K272" i="9"/>
  <c r="J272" i="9"/>
  <c r="I272" i="9"/>
  <c r="N272" i="9" s="1"/>
  <c r="K271" i="9"/>
  <c r="J271" i="9"/>
  <c r="I271" i="9"/>
  <c r="N271" i="9" s="1"/>
  <c r="K270" i="9"/>
  <c r="J270" i="9"/>
  <c r="I270" i="9"/>
  <c r="N270" i="9" s="1"/>
  <c r="K269" i="9"/>
  <c r="J269" i="9"/>
  <c r="I269" i="9"/>
  <c r="N269" i="9" s="1"/>
  <c r="K268" i="9"/>
  <c r="J268" i="9"/>
  <c r="I268" i="9"/>
  <c r="N268" i="9" s="1"/>
  <c r="K267" i="9"/>
  <c r="J267" i="9"/>
  <c r="I267" i="9"/>
  <c r="N267" i="9" s="1"/>
  <c r="F266" i="9"/>
  <c r="K265" i="9"/>
  <c r="J265" i="9"/>
  <c r="I265" i="9"/>
  <c r="N265" i="9" s="1"/>
  <c r="K264" i="9"/>
  <c r="J264" i="9"/>
  <c r="I264" i="9"/>
  <c r="N264" i="9" s="1"/>
  <c r="K263" i="9"/>
  <c r="J263" i="9"/>
  <c r="I263" i="9"/>
  <c r="N263" i="9" s="1"/>
  <c r="K262" i="9"/>
  <c r="J262" i="9"/>
  <c r="I262" i="9"/>
  <c r="N262" i="9" s="1"/>
  <c r="K261" i="9"/>
  <c r="J261" i="9"/>
  <c r="I261" i="9"/>
  <c r="N261" i="9" s="1"/>
  <c r="K260" i="9"/>
  <c r="J260" i="9"/>
  <c r="I260" i="9"/>
  <c r="N260" i="9" s="1"/>
  <c r="K259" i="9"/>
  <c r="J259" i="9"/>
  <c r="I259" i="9"/>
  <c r="N259" i="9" s="1"/>
  <c r="K258" i="9"/>
  <c r="J258" i="9"/>
  <c r="I258" i="9"/>
  <c r="N258" i="9" s="1"/>
  <c r="K257" i="9"/>
  <c r="J257" i="9"/>
  <c r="I257" i="9"/>
  <c r="N257" i="9" s="1"/>
  <c r="K256" i="9"/>
  <c r="J256" i="9"/>
  <c r="I256" i="9"/>
  <c r="N256" i="9" s="1"/>
  <c r="K255" i="9"/>
  <c r="J255" i="9"/>
  <c r="I255" i="9"/>
  <c r="N255" i="9" s="1"/>
  <c r="K254" i="9"/>
  <c r="J254" i="9"/>
  <c r="I254" i="9"/>
  <c r="N254" i="9" s="1"/>
  <c r="K253" i="9"/>
  <c r="J253" i="9"/>
  <c r="J252" i="9" s="1"/>
  <c r="I253" i="9"/>
  <c r="N253" i="9" s="1"/>
  <c r="F252" i="9"/>
  <c r="M252" i="9" s="1"/>
  <c r="K251" i="9"/>
  <c r="J251" i="9"/>
  <c r="L251" i="9" s="1"/>
  <c r="M251" i="9" s="1"/>
  <c r="I251" i="9"/>
  <c r="N251" i="9" s="1"/>
  <c r="K250" i="9"/>
  <c r="J250" i="9"/>
  <c r="I250" i="9"/>
  <c r="N250" i="9" s="1"/>
  <c r="K249" i="9"/>
  <c r="J249" i="9"/>
  <c r="I249" i="9"/>
  <c r="N249" i="9" s="1"/>
  <c r="K248" i="9"/>
  <c r="J248" i="9"/>
  <c r="I248" i="9"/>
  <c r="N248" i="9" s="1"/>
  <c r="K247" i="9"/>
  <c r="J247" i="9"/>
  <c r="I247" i="9"/>
  <c r="N247" i="9" s="1"/>
  <c r="K246" i="9"/>
  <c r="J246" i="9"/>
  <c r="I246" i="9"/>
  <c r="N246" i="9" s="1"/>
  <c r="K245" i="9"/>
  <c r="J245" i="9"/>
  <c r="I245" i="9"/>
  <c r="N245" i="9" s="1"/>
  <c r="K244" i="9"/>
  <c r="J244" i="9"/>
  <c r="I244" i="9"/>
  <c r="N244" i="9" s="1"/>
  <c r="K243" i="9"/>
  <c r="J243" i="9"/>
  <c r="I243" i="9"/>
  <c r="N243" i="9" s="1"/>
  <c r="K242" i="9"/>
  <c r="J242" i="9"/>
  <c r="I242" i="9"/>
  <c r="N242" i="9" s="1"/>
  <c r="K241" i="9"/>
  <c r="J241" i="9"/>
  <c r="I241" i="9"/>
  <c r="N241" i="9" s="1"/>
  <c r="K240" i="9"/>
  <c r="J240" i="9"/>
  <c r="I240" i="9"/>
  <c r="N240" i="9" s="1"/>
  <c r="K239" i="9"/>
  <c r="J239" i="9"/>
  <c r="I239" i="9"/>
  <c r="N239" i="9" s="1"/>
  <c r="K238" i="9"/>
  <c r="J238" i="9"/>
  <c r="I238" i="9"/>
  <c r="N238" i="9" s="1"/>
  <c r="F237" i="9"/>
  <c r="M237" i="9" s="1"/>
  <c r="K235" i="9"/>
  <c r="J235" i="9"/>
  <c r="I235" i="9"/>
  <c r="N235" i="9" s="1"/>
  <c r="K234" i="9"/>
  <c r="J234" i="9"/>
  <c r="I234" i="9"/>
  <c r="N234" i="9" s="1"/>
  <c r="K233" i="9"/>
  <c r="J233" i="9"/>
  <c r="I233" i="9"/>
  <c r="N233" i="9" s="1"/>
  <c r="K232" i="9"/>
  <c r="L232" i="9" s="1"/>
  <c r="M232" i="9" s="1"/>
  <c r="J232" i="9"/>
  <c r="I232" i="9"/>
  <c r="N232" i="9" s="1"/>
  <c r="F231" i="9"/>
  <c r="M231" i="9" s="1"/>
  <c r="K230" i="9"/>
  <c r="J230" i="9"/>
  <c r="I230" i="9"/>
  <c r="N230" i="9" s="1"/>
  <c r="K229" i="9"/>
  <c r="J229" i="9"/>
  <c r="I229" i="9"/>
  <c r="N229" i="9" s="1"/>
  <c r="K228" i="9"/>
  <c r="J228" i="9"/>
  <c r="I228" i="9"/>
  <c r="N228" i="9" s="1"/>
  <c r="K227" i="9"/>
  <c r="J227" i="9"/>
  <c r="I227" i="9"/>
  <c r="N227" i="9" s="1"/>
  <c r="K226" i="9"/>
  <c r="J226" i="9"/>
  <c r="I226" i="9"/>
  <c r="N226" i="9" s="1"/>
  <c r="K225" i="9"/>
  <c r="J225" i="9"/>
  <c r="L225" i="9" s="1"/>
  <c r="M225" i="9" s="1"/>
  <c r="I225" i="9"/>
  <c r="N225" i="9" s="1"/>
  <c r="K224" i="9"/>
  <c r="J224" i="9"/>
  <c r="I224" i="9"/>
  <c r="N224" i="9" s="1"/>
  <c r="K223" i="9"/>
  <c r="J223" i="9"/>
  <c r="I223" i="9"/>
  <c r="N223" i="9" s="1"/>
  <c r="K222" i="9"/>
  <c r="J222" i="9"/>
  <c r="I222" i="9"/>
  <c r="N222" i="9" s="1"/>
  <c r="K221" i="9"/>
  <c r="J221" i="9"/>
  <c r="L221" i="9" s="1"/>
  <c r="M221" i="9" s="1"/>
  <c r="I221" i="9"/>
  <c r="N221" i="9" s="1"/>
  <c r="K220" i="9"/>
  <c r="J220" i="9"/>
  <c r="I220" i="9"/>
  <c r="N220" i="9" s="1"/>
  <c r="F219" i="9"/>
  <c r="M219" i="9" s="1"/>
  <c r="K218" i="9"/>
  <c r="J218" i="9"/>
  <c r="I218" i="9"/>
  <c r="N218" i="9" s="1"/>
  <c r="K217" i="9"/>
  <c r="J217" i="9"/>
  <c r="I217" i="9"/>
  <c r="N217" i="9" s="1"/>
  <c r="K216" i="9"/>
  <c r="J216" i="9"/>
  <c r="L216" i="9" s="1"/>
  <c r="M216" i="9" s="1"/>
  <c r="I216" i="9"/>
  <c r="N216" i="9" s="1"/>
  <c r="K215" i="9"/>
  <c r="J215" i="9"/>
  <c r="I215" i="9"/>
  <c r="N215" i="9" s="1"/>
  <c r="K214" i="9"/>
  <c r="J214" i="9"/>
  <c r="L214" i="9" s="1"/>
  <c r="M214" i="9" s="1"/>
  <c r="I214" i="9"/>
  <c r="N214" i="9" s="1"/>
  <c r="K213" i="9"/>
  <c r="J213" i="9"/>
  <c r="I213" i="9"/>
  <c r="N213" i="9" s="1"/>
  <c r="K212" i="9"/>
  <c r="J212" i="9"/>
  <c r="I212" i="9"/>
  <c r="N212" i="9" s="1"/>
  <c r="K211" i="9"/>
  <c r="J211" i="9"/>
  <c r="L211" i="9" s="1"/>
  <c r="M211" i="9" s="1"/>
  <c r="I211" i="9"/>
  <c r="N211" i="9" s="1"/>
  <c r="K210" i="9"/>
  <c r="J210" i="9"/>
  <c r="I210" i="9"/>
  <c r="N210" i="9" s="1"/>
  <c r="K209" i="9"/>
  <c r="J209" i="9"/>
  <c r="I209" i="9"/>
  <c r="N209" i="9" s="1"/>
  <c r="N208" i="9"/>
  <c r="K208" i="9"/>
  <c r="J208" i="9"/>
  <c r="L208" i="9" s="1"/>
  <c r="M208" i="9" s="1"/>
  <c r="I208" i="9"/>
  <c r="K207" i="9"/>
  <c r="L207" i="9" s="1"/>
  <c r="M207" i="9" s="1"/>
  <c r="J207" i="9"/>
  <c r="I207" i="9"/>
  <c r="N207" i="9" s="1"/>
  <c r="K206" i="9"/>
  <c r="J206" i="9"/>
  <c r="I206" i="9"/>
  <c r="N206" i="9" s="1"/>
  <c r="K205" i="9"/>
  <c r="L205" i="9" s="1"/>
  <c r="M205" i="9" s="1"/>
  <c r="J205" i="9"/>
  <c r="I205" i="9"/>
  <c r="N205" i="9" s="1"/>
  <c r="K204" i="9"/>
  <c r="J204" i="9"/>
  <c r="I204" i="9"/>
  <c r="N204" i="9" s="1"/>
  <c r="K203" i="9"/>
  <c r="J203" i="9"/>
  <c r="I203" i="9"/>
  <c r="N203" i="9" s="1"/>
  <c r="K202" i="9"/>
  <c r="J202" i="9"/>
  <c r="I202" i="9"/>
  <c r="N202" i="9" s="1"/>
  <c r="K201" i="9"/>
  <c r="J201" i="9"/>
  <c r="L201" i="9" s="1"/>
  <c r="M201" i="9" s="1"/>
  <c r="I201" i="9"/>
  <c r="N201" i="9" s="1"/>
  <c r="N200" i="9"/>
  <c r="K200" i="9"/>
  <c r="J200" i="9"/>
  <c r="L200" i="9" s="1"/>
  <c r="M200" i="9" s="1"/>
  <c r="I200" i="9"/>
  <c r="N199" i="9"/>
  <c r="K199" i="9"/>
  <c r="J199" i="9"/>
  <c r="F198" i="9"/>
  <c r="M198" i="9" s="1"/>
  <c r="K197" i="9"/>
  <c r="J197" i="9"/>
  <c r="I197" i="9"/>
  <c r="N197" i="9" s="1"/>
  <c r="K196" i="9"/>
  <c r="J196" i="9"/>
  <c r="I196" i="9"/>
  <c r="N196" i="9" s="1"/>
  <c r="K195" i="9"/>
  <c r="J195" i="9"/>
  <c r="I195" i="9"/>
  <c r="N195" i="9" s="1"/>
  <c r="K194" i="9"/>
  <c r="L194" i="9" s="1"/>
  <c r="M194" i="9" s="1"/>
  <c r="J194" i="9"/>
  <c r="I194" i="9"/>
  <c r="N194" i="9" s="1"/>
  <c r="K193" i="9"/>
  <c r="J193" i="9"/>
  <c r="I193" i="9"/>
  <c r="N193" i="9" s="1"/>
  <c r="K192" i="9"/>
  <c r="J192" i="9"/>
  <c r="I192" i="9"/>
  <c r="N192" i="9" s="1"/>
  <c r="K191" i="9"/>
  <c r="J191" i="9"/>
  <c r="I191" i="9"/>
  <c r="N191" i="9" s="1"/>
  <c r="K190" i="9"/>
  <c r="J190" i="9"/>
  <c r="L190" i="9" s="1"/>
  <c r="M190" i="9" s="1"/>
  <c r="I190" i="9"/>
  <c r="N190" i="9" s="1"/>
  <c r="K189" i="9"/>
  <c r="J189" i="9"/>
  <c r="I189" i="9"/>
  <c r="N189" i="9" s="1"/>
  <c r="K188" i="9"/>
  <c r="J188" i="9"/>
  <c r="I188" i="9"/>
  <c r="N188" i="9" s="1"/>
  <c r="K187" i="9"/>
  <c r="J187" i="9"/>
  <c r="I187" i="9"/>
  <c r="N187" i="9" s="1"/>
  <c r="K186" i="9"/>
  <c r="J186" i="9"/>
  <c r="I186" i="9"/>
  <c r="N186" i="9" s="1"/>
  <c r="K185" i="9"/>
  <c r="J185" i="9"/>
  <c r="I185" i="9"/>
  <c r="N185" i="9" s="1"/>
  <c r="K184" i="9"/>
  <c r="J184" i="9"/>
  <c r="I184" i="9"/>
  <c r="N184" i="9" s="1"/>
  <c r="K183" i="9"/>
  <c r="J183" i="9"/>
  <c r="I183" i="9"/>
  <c r="N183" i="9" s="1"/>
  <c r="K182" i="9"/>
  <c r="J182" i="9"/>
  <c r="I182" i="9"/>
  <c r="N182" i="9" s="1"/>
  <c r="K181" i="9"/>
  <c r="J181" i="9"/>
  <c r="I181" i="9"/>
  <c r="N181" i="9" s="1"/>
  <c r="K180" i="9"/>
  <c r="J180" i="9"/>
  <c r="I180" i="9"/>
  <c r="N180" i="9" s="1"/>
  <c r="F179" i="9"/>
  <c r="K178" i="9"/>
  <c r="J178" i="9"/>
  <c r="L178" i="9" s="1"/>
  <c r="M178" i="9" s="1"/>
  <c r="I178" i="9"/>
  <c r="N178" i="9" s="1"/>
  <c r="K177" i="9"/>
  <c r="J177" i="9"/>
  <c r="I177" i="9"/>
  <c r="N177" i="9" s="1"/>
  <c r="K176" i="9"/>
  <c r="J176" i="9"/>
  <c r="I176" i="9"/>
  <c r="N176" i="9" s="1"/>
  <c r="K175" i="9"/>
  <c r="J175" i="9"/>
  <c r="I175" i="9"/>
  <c r="N175" i="9" s="1"/>
  <c r="K174" i="9"/>
  <c r="J174" i="9"/>
  <c r="I174" i="9"/>
  <c r="N174" i="9" s="1"/>
  <c r="K173" i="9"/>
  <c r="J173" i="9"/>
  <c r="I173" i="9"/>
  <c r="N173" i="9" s="1"/>
  <c r="K172" i="9"/>
  <c r="J172" i="9"/>
  <c r="I172" i="9"/>
  <c r="N172" i="9" s="1"/>
  <c r="K171" i="9"/>
  <c r="J171" i="9"/>
  <c r="I171" i="9"/>
  <c r="N171" i="9" s="1"/>
  <c r="K170" i="9"/>
  <c r="J170" i="9"/>
  <c r="I170" i="9"/>
  <c r="N170" i="9" s="1"/>
  <c r="K169" i="9"/>
  <c r="J169" i="9"/>
  <c r="I169" i="9"/>
  <c r="N169" i="9" s="1"/>
  <c r="K168" i="9"/>
  <c r="J168" i="9"/>
  <c r="I168" i="9"/>
  <c r="N168" i="9" s="1"/>
  <c r="L167" i="9"/>
  <c r="M167" i="9" s="1"/>
  <c r="K167" i="9"/>
  <c r="J167" i="9"/>
  <c r="I167" i="9"/>
  <c r="N167" i="9" s="1"/>
  <c r="K166" i="9"/>
  <c r="J166" i="9"/>
  <c r="I166" i="9"/>
  <c r="N166" i="9" s="1"/>
  <c r="L165" i="9"/>
  <c r="M165" i="9" s="1"/>
  <c r="K165" i="9"/>
  <c r="J165" i="9"/>
  <c r="I165" i="9"/>
  <c r="N165" i="9" s="1"/>
  <c r="K164" i="9"/>
  <c r="J164" i="9"/>
  <c r="I164" i="9"/>
  <c r="N164" i="9" s="1"/>
  <c r="K163" i="9"/>
  <c r="J163" i="9"/>
  <c r="I163" i="9"/>
  <c r="N163" i="9" s="1"/>
  <c r="K162" i="9"/>
  <c r="J162" i="9"/>
  <c r="L162" i="9" s="1"/>
  <c r="M162" i="9" s="1"/>
  <c r="I162" i="9"/>
  <c r="N162" i="9" s="1"/>
  <c r="K161" i="9"/>
  <c r="L161" i="9" s="1"/>
  <c r="M161" i="9" s="1"/>
  <c r="J161" i="9"/>
  <c r="I161" i="9"/>
  <c r="N161" i="9" s="1"/>
  <c r="K160" i="9"/>
  <c r="J160" i="9"/>
  <c r="I160" i="9"/>
  <c r="N160" i="9" s="1"/>
  <c r="K159" i="9"/>
  <c r="J159" i="9"/>
  <c r="I159" i="9"/>
  <c r="N159" i="9" s="1"/>
  <c r="K158" i="9"/>
  <c r="J158" i="9"/>
  <c r="I158" i="9"/>
  <c r="N158" i="9" s="1"/>
  <c r="K157" i="9"/>
  <c r="L157" i="9" s="1"/>
  <c r="M157" i="9" s="1"/>
  <c r="J157" i="9"/>
  <c r="I157" i="9"/>
  <c r="N157" i="9" s="1"/>
  <c r="N156" i="9"/>
  <c r="K156" i="9"/>
  <c r="J156" i="9"/>
  <c r="I156" i="9"/>
  <c r="K155" i="9"/>
  <c r="J155" i="9"/>
  <c r="L155" i="9" s="1"/>
  <c r="M155" i="9" s="1"/>
  <c r="I155" i="9"/>
  <c r="N155" i="9" s="1"/>
  <c r="K154" i="9"/>
  <c r="J154" i="9"/>
  <c r="I154" i="9"/>
  <c r="N154" i="9" s="1"/>
  <c r="K153" i="9"/>
  <c r="J153" i="9"/>
  <c r="I153" i="9"/>
  <c r="N153" i="9" s="1"/>
  <c r="K152" i="9"/>
  <c r="J152" i="9"/>
  <c r="L152" i="9" s="1"/>
  <c r="M152" i="9" s="1"/>
  <c r="I152" i="9"/>
  <c r="N152" i="9" s="1"/>
  <c r="F151" i="9"/>
  <c r="M151" i="9" s="1"/>
  <c r="L150" i="9"/>
  <c r="M150" i="9" s="1"/>
  <c r="K150" i="9"/>
  <c r="J150" i="9"/>
  <c r="I150" i="9"/>
  <c r="N150" i="9" s="1"/>
  <c r="K149" i="9"/>
  <c r="J149" i="9"/>
  <c r="I149" i="9"/>
  <c r="N149" i="9" s="1"/>
  <c r="K148" i="9"/>
  <c r="L148" i="9" s="1"/>
  <c r="M148" i="9" s="1"/>
  <c r="J148" i="9"/>
  <c r="I148" i="9"/>
  <c r="N148" i="9" s="1"/>
  <c r="K147" i="9"/>
  <c r="J147" i="9"/>
  <c r="I147" i="9"/>
  <c r="N147" i="9" s="1"/>
  <c r="L146" i="9"/>
  <c r="M146" i="9" s="1"/>
  <c r="K146" i="9"/>
  <c r="J146" i="9"/>
  <c r="I146" i="9"/>
  <c r="N146" i="9" s="1"/>
  <c r="K145" i="9"/>
  <c r="J145" i="9"/>
  <c r="I145" i="9"/>
  <c r="N145" i="9" s="1"/>
  <c r="K144" i="9"/>
  <c r="J144" i="9"/>
  <c r="I144" i="9"/>
  <c r="N144" i="9" s="1"/>
  <c r="F143" i="9"/>
  <c r="M143" i="9" s="1"/>
  <c r="K142" i="9"/>
  <c r="J142" i="9"/>
  <c r="I142" i="9"/>
  <c r="N142" i="9" s="1"/>
  <c r="N141" i="9"/>
  <c r="K141" i="9"/>
  <c r="J141" i="9"/>
  <c r="I141" i="9"/>
  <c r="K140" i="9"/>
  <c r="J140" i="9"/>
  <c r="I140" i="9"/>
  <c r="N140" i="9" s="1"/>
  <c r="K139" i="9"/>
  <c r="J139" i="9"/>
  <c r="I139" i="9"/>
  <c r="N139" i="9" s="1"/>
  <c r="F138" i="9"/>
  <c r="M138" i="9" s="1"/>
  <c r="K137" i="9"/>
  <c r="J137" i="9"/>
  <c r="I137" i="9"/>
  <c r="N137" i="9" s="1"/>
  <c r="K136" i="9"/>
  <c r="L136" i="9" s="1"/>
  <c r="M136" i="9" s="1"/>
  <c r="J136" i="9"/>
  <c r="I136" i="9"/>
  <c r="N136" i="9" s="1"/>
  <c r="K135" i="9"/>
  <c r="J135" i="9"/>
  <c r="I135" i="9"/>
  <c r="N135" i="9" s="1"/>
  <c r="K134" i="9"/>
  <c r="J134" i="9"/>
  <c r="I134" i="9"/>
  <c r="N134" i="9" s="1"/>
  <c r="K133" i="9"/>
  <c r="J133" i="9"/>
  <c r="I133" i="9"/>
  <c r="N133" i="9" s="1"/>
  <c r="K132" i="9"/>
  <c r="L132" i="9" s="1"/>
  <c r="M132" i="9" s="1"/>
  <c r="J132" i="9"/>
  <c r="I132" i="9"/>
  <c r="N132" i="9" s="1"/>
  <c r="K131" i="9"/>
  <c r="J131" i="9"/>
  <c r="L131" i="9" s="1"/>
  <c r="I131" i="9"/>
  <c r="N131" i="9" s="1"/>
  <c r="I130" i="9"/>
  <c r="F130" i="9"/>
  <c r="N128" i="9"/>
  <c r="K128" i="9"/>
  <c r="J128" i="9"/>
  <c r="I128" i="9"/>
  <c r="K127" i="9"/>
  <c r="J127" i="9"/>
  <c r="L127" i="9" s="1"/>
  <c r="M127" i="9" s="1"/>
  <c r="I127" i="9"/>
  <c r="N127" i="9" s="1"/>
  <c r="N126" i="9"/>
  <c r="K126" i="9"/>
  <c r="J126" i="9"/>
  <c r="I126" i="9"/>
  <c r="K125" i="9"/>
  <c r="J125" i="9"/>
  <c r="I125" i="9"/>
  <c r="N125" i="9" s="1"/>
  <c r="N124" i="9"/>
  <c r="K124" i="9"/>
  <c r="J124" i="9"/>
  <c r="I124" i="9"/>
  <c r="K123" i="9"/>
  <c r="J123" i="9"/>
  <c r="I123" i="9"/>
  <c r="N123" i="9" s="1"/>
  <c r="N122" i="9"/>
  <c r="K122" i="9"/>
  <c r="J122" i="9"/>
  <c r="I122" i="9"/>
  <c r="J121" i="9"/>
  <c r="I121" i="9"/>
  <c r="N121" i="9" s="1"/>
  <c r="K121" i="9"/>
  <c r="I120" i="9"/>
  <c r="F120" i="9"/>
  <c r="K119" i="9"/>
  <c r="K118" i="9" s="1"/>
  <c r="J119" i="9"/>
  <c r="I119" i="9"/>
  <c r="N119" i="9" s="1"/>
  <c r="F118" i="9"/>
  <c r="N117" i="9"/>
  <c r="K117" i="9"/>
  <c r="J117" i="9"/>
  <c r="I117" i="9"/>
  <c r="L116" i="9"/>
  <c r="M116" i="9" s="1"/>
  <c r="K116" i="9"/>
  <c r="J116" i="9"/>
  <c r="I116" i="9"/>
  <c r="N116" i="9" s="1"/>
  <c r="N115" i="9"/>
  <c r="K115" i="9"/>
  <c r="J115" i="9"/>
  <c r="I115" i="9"/>
  <c r="L114" i="9"/>
  <c r="M114" i="9" s="1"/>
  <c r="K114" i="9"/>
  <c r="J114" i="9"/>
  <c r="I114" i="9"/>
  <c r="N114" i="9" s="1"/>
  <c r="N113" i="9"/>
  <c r="K113" i="9"/>
  <c r="J113" i="9"/>
  <c r="I113" i="9"/>
  <c r="M112" i="9"/>
  <c r="K112" i="9"/>
  <c r="L112" i="9" s="1"/>
  <c r="J112" i="9"/>
  <c r="I112" i="9"/>
  <c r="N112" i="9" s="1"/>
  <c r="K111" i="9"/>
  <c r="J111" i="9"/>
  <c r="I111" i="9"/>
  <c r="N111" i="9" s="1"/>
  <c r="L110" i="9"/>
  <c r="M110" i="9" s="1"/>
  <c r="K110" i="9"/>
  <c r="J110" i="9"/>
  <c r="I110" i="9"/>
  <c r="N110" i="9" s="1"/>
  <c r="F109" i="9"/>
  <c r="K108" i="9"/>
  <c r="K106" i="9" s="1"/>
  <c r="J108" i="9"/>
  <c r="I108" i="9"/>
  <c r="N108" i="9" s="1"/>
  <c r="K107" i="9"/>
  <c r="J107" i="9"/>
  <c r="L107" i="9" s="1"/>
  <c r="M107" i="9" s="1"/>
  <c r="I107" i="9"/>
  <c r="N107" i="9" s="1"/>
  <c r="F106" i="9"/>
  <c r="M106" i="9" s="1"/>
  <c r="K105" i="9"/>
  <c r="J105" i="9"/>
  <c r="L105" i="9" s="1"/>
  <c r="M105" i="9" s="1"/>
  <c r="I105" i="9"/>
  <c r="N105" i="9" s="1"/>
  <c r="K104" i="9"/>
  <c r="J104" i="9"/>
  <c r="I104" i="9"/>
  <c r="N104" i="9" s="1"/>
  <c r="K103" i="9"/>
  <c r="J103" i="9"/>
  <c r="I103" i="9"/>
  <c r="N103" i="9" s="1"/>
  <c r="K102" i="9"/>
  <c r="J102" i="9"/>
  <c r="L102" i="9" s="1"/>
  <c r="M102" i="9" s="1"/>
  <c r="I102" i="9"/>
  <c r="N102" i="9" s="1"/>
  <c r="K101" i="9"/>
  <c r="J101" i="9"/>
  <c r="I101" i="9"/>
  <c r="N101" i="9" s="1"/>
  <c r="K100" i="9"/>
  <c r="J100" i="9"/>
  <c r="L100" i="9" s="1"/>
  <c r="M100" i="9" s="1"/>
  <c r="I100" i="9"/>
  <c r="N100" i="9" s="1"/>
  <c r="K99" i="9"/>
  <c r="J99" i="9"/>
  <c r="I99" i="9"/>
  <c r="N99" i="9" s="1"/>
  <c r="K98" i="9"/>
  <c r="J98" i="9"/>
  <c r="I98" i="9"/>
  <c r="N98" i="9" s="1"/>
  <c r="K97" i="9"/>
  <c r="J97" i="9"/>
  <c r="L97" i="9" s="1"/>
  <c r="M97" i="9" s="1"/>
  <c r="I97" i="9"/>
  <c r="N97" i="9" s="1"/>
  <c r="K96" i="9"/>
  <c r="J96" i="9"/>
  <c r="I96" i="9"/>
  <c r="N96" i="9" s="1"/>
  <c r="K95" i="9"/>
  <c r="J95" i="9"/>
  <c r="I95" i="9"/>
  <c r="N95" i="9" s="1"/>
  <c r="F94" i="9"/>
  <c r="K93" i="9"/>
  <c r="K92" i="9" s="1"/>
  <c r="J93" i="9"/>
  <c r="I93" i="9"/>
  <c r="N93" i="9" s="1"/>
  <c r="F92" i="9"/>
  <c r="K91" i="9"/>
  <c r="J91" i="9"/>
  <c r="L91" i="9" s="1"/>
  <c r="M91" i="9" s="1"/>
  <c r="I91" i="9"/>
  <c r="N91" i="9" s="1"/>
  <c r="K90" i="9"/>
  <c r="L90" i="9" s="1"/>
  <c r="M90" i="9" s="1"/>
  <c r="J90" i="9"/>
  <c r="I90" i="9"/>
  <c r="N90" i="9" s="1"/>
  <c r="K89" i="9"/>
  <c r="J89" i="9"/>
  <c r="I89" i="9"/>
  <c r="N89" i="9" s="1"/>
  <c r="F88" i="9"/>
  <c r="K87" i="9"/>
  <c r="L87" i="9" s="1"/>
  <c r="M87" i="9" s="1"/>
  <c r="J87" i="9"/>
  <c r="I87" i="9"/>
  <c r="N87" i="9" s="1"/>
  <c r="K86" i="9"/>
  <c r="J86" i="9"/>
  <c r="I86" i="9"/>
  <c r="N86" i="9" s="1"/>
  <c r="K85" i="9"/>
  <c r="J85" i="9"/>
  <c r="L85" i="9" s="1"/>
  <c r="M85" i="9" s="1"/>
  <c r="I85" i="9"/>
  <c r="N85" i="9" s="1"/>
  <c r="K84" i="9"/>
  <c r="J84" i="9"/>
  <c r="I84" i="9"/>
  <c r="N84" i="9" s="1"/>
  <c r="K83" i="9"/>
  <c r="J83" i="9"/>
  <c r="I83" i="9"/>
  <c r="N83" i="9" s="1"/>
  <c r="K82" i="9"/>
  <c r="J82" i="9"/>
  <c r="I82" i="9"/>
  <c r="N82" i="9" s="1"/>
  <c r="K81" i="9"/>
  <c r="J81" i="9"/>
  <c r="I81" i="9"/>
  <c r="N81" i="9" s="1"/>
  <c r="F80" i="9"/>
  <c r="M80" i="9" s="1"/>
  <c r="K78" i="9"/>
  <c r="J78" i="9"/>
  <c r="L78" i="9" s="1"/>
  <c r="M78" i="9" s="1"/>
  <c r="I78" i="9"/>
  <c r="N78" i="9" s="1"/>
  <c r="K77" i="9"/>
  <c r="J77" i="9"/>
  <c r="I77" i="9"/>
  <c r="N77" i="9" s="1"/>
  <c r="K76" i="9"/>
  <c r="J76" i="9"/>
  <c r="J75" i="9" s="1"/>
  <c r="I76" i="9"/>
  <c r="N76" i="9" s="1"/>
  <c r="F75" i="9"/>
  <c r="K74" i="9"/>
  <c r="K73" i="9" s="1"/>
  <c r="J74" i="9"/>
  <c r="I74" i="9"/>
  <c r="N74" i="9" s="1"/>
  <c r="F73" i="9"/>
  <c r="K72" i="9"/>
  <c r="K71" i="9" s="1"/>
  <c r="J72" i="9"/>
  <c r="I72" i="9"/>
  <c r="N72" i="9" s="1"/>
  <c r="F71" i="9"/>
  <c r="K70" i="9"/>
  <c r="J70" i="9"/>
  <c r="I70" i="9"/>
  <c r="N70" i="9" s="1"/>
  <c r="K69" i="9"/>
  <c r="J69" i="9"/>
  <c r="I69" i="9"/>
  <c r="N69" i="9" s="1"/>
  <c r="K68" i="9"/>
  <c r="J68" i="9"/>
  <c r="I68" i="9"/>
  <c r="N68" i="9" s="1"/>
  <c r="J67" i="9"/>
  <c r="K66" i="9"/>
  <c r="J66" i="9"/>
  <c r="F65" i="9"/>
  <c r="K64" i="9"/>
  <c r="J64" i="9"/>
  <c r="I64" i="9"/>
  <c r="N64" i="9" s="1"/>
  <c r="K63" i="9"/>
  <c r="J63" i="9"/>
  <c r="I63" i="9"/>
  <c r="N63" i="9" s="1"/>
  <c r="K62" i="9"/>
  <c r="L62" i="9" s="1"/>
  <c r="M62" i="9" s="1"/>
  <c r="J62" i="9"/>
  <c r="I62" i="9"/>
  <c r="N62" i="9" s="1"/>
  <c r="K61" i="9"/>
  <c r="J61" i="9"/>
  <c r="I61" i="9"/>
  <c r="N61" i="9" s="1"/>
  <c r="K60" i="9"/>
  <c r="J60" i="9"/>
  <c r="I60" i="9"/>
  <c r="N60" i="9" s="1"/>
  <c r="L59" i="9"/>
  <c r="K59" i="9"/>
  <c r="J59" i="9"/>
  <c r="I59" i="9"/>
  <c r="N59" i="9" s="1"/>
  <c r="F58" i="9"/>
  <c r="J56" i="9"/>
  <c r="H56" i="9"/>
  <c r="I56" i="9" s="1"/>
  <c r="N56" i="9" s="1"/>
  <c r="K55" i="9"/>
  <c r="J55" i="9"/>
  <c r="I55" i="9"/>
  <c r="N55" i="9" s="1"/>
  <c r="K54" i="9"/>
  <c r="J54" i="9"/>
  <c r="L54" i="9" s="1"/>
  <c r="M54" i="9" s="1"/>
  <c r="I54" i="9"/>
  <c r="N54" i="9" s="1"/>
  <c r="K53" i="9"/>
  <c r="J53" i="9"/>
  <c r="J52" i="9" s="1"/>
  <c r="I53" i="9"/>
  <c r="N53" i="9" s="1"/>
  <c r="F52" i="9"/>
  <c r="M52" i="9" s="1"/>
  <c r="J51" i="9"/>
  <c r="K51" i="9"/>
  <c r="J50" i="9"/>
  <c r="I50" i="9"/>
  <c r="N50" i="9" s="1"/>
  <c r="J49" i="9"/>
  <c r="I49" i="9"/>
  <c r="N49" i="9" s="1"/>
  <c r="K49" i="9"/>
  <c r="J48" i="9"/>
  <c r="I48" i="9"/>
  <c r="N48" i="9" s="1"/>
  <c r="K48" i="9"/>
  <c r="L47" i="9"/>
  <c r="M47" i="9" s="1"/>
  <c r="K47" i="9"/>
  <c r="J47" i="9"/>
  <c r="I47" i="9"/>
  <c r="N47" i="9" s="1"/>
  <c r="K46" i="9"/>
  <c r="J46" i="9"/>
  <c r="I46" i="9"/>
  <c r="N46" i="9" s="1"/>
  <c r="F45" i="9"/>
  <c r="K44" i="9"/>
  <c r="J44" i="9"/>
  <c r="I44" i="9"/>
  <c r="N44" i="9" s="1"/>
  <c r="K43" i="9"/>
  <c r="J43" i="9"/>
  <c r="I43" i="9"/>
  <c r="N43" i="9" s="1"/>
  <c r="K42" i="9"/>
  <c r="J42" i="9"/>
  <c r="I42" i="9"/>
  <c r="N42" i="9" s="1"/>
  <c r="K41" i="9"/>
  <c r="J41" i="9"/>
  <c r="L41" i="9" s="1"/>
  <c r="M41" i="9" s="1"/>
  <c r="I41" i="9"/>
  <c r="N41" i="9" s="1"/>
  <c r="K40" i="9"/>
  <c r="J40" i="9"/>
  <c r="I40" i="9"/>
  <c r="N40" i="9" s="1"/>
  <c r="J39" i="9"/>
  <c r="K39" i="9"/>
  <c r="J38" i="9"/>
  <c r="I38" i="9"/>
  <c r="N38" i="9" s="1"/>
  <c r="I37" i="9"/>
  <c r="N37" i="9" s="1"/>
  <c r="K37" i="9"/>
  <c r="F36" i="9"/>
  <c r="K34" i="9"/>
  <c r="J34" i="9"/>
  <c r="I34" i="9"/>
  <c r="N34" i="9" s="1"/>
  <c r="J33" i="9"/>
  <c r="K33" i="9"/>
  <c r="J32" i="9"/>
  <c r="I32" i="9"/>
  <c r="N32" i="9" s="1"/>
  <c r="K32" i="9"/>
  <c r="J31" i="9"/>
  <c r="K31" i="9"/>
  <c r="F30" i="9"/>
  <c r="K29" i="9"/>
  <c r="L29" i="9" s="1"/>
  <c r="M29" i="9" s="1"/>
  <c r="I29" i="9"/>
  <c r="N29" i="9" s="1"/>
  <c r="F29" i="9"/>
  <c r="H28" i="9"/>
  <c r="K28" i="9" s="1"/>
  <c r="F28" i="9"/>
  <c r="K27" i="9"/>
  <c r="L27" i="9"/>
  <c r="I27" i="9"/>
  <c r="N27" i="9" s="1"/>
  <c r="F27" i="9"/>
  <c r="K26" i="9"/>
  <c r="L26" i="9" s="1"/>
  <c r="I26" i="9"/>
  <c r="N26" i="9" s="1"/>
  <c r="F26" i="9"/>
  <c r="K25" i="9"/>
  <c r="I25" i="9"/>
  <c r="N25" i="9" s="1"/>
  <c r="F25" i="9"/>
  <c r="K24" i="9"/>
  <c r="L24" i="9" s="1"/>
  <c r="M24" i="9" s="1"/>
  <c r="I24" i="9"/>
  <c r="N24" i="9" s="1"/>
  <c r="F24" i="9"/>
  <c r="K23" i="9"/>
  <c r="L23" i="9"/>
  <c r="I23" i="9"/>
  <c r="N23" i="9" s="1"/>
  <c r="F23" i="9"/>
  <c r="K22" i="9"/>
  <c r="L22" i="9"/>
  <c r="M22" i="9" s="1"/>
  <c r="I22" i="9"/>
  <c r="N22" i="9" s="1"/>
  <c r="F22" i="9"/>
  <c r="N21" i="9"/>
  <c r="K21" i="9"/>
  <c r="F21" i="9"/>
  <c r="N20" i="9"/>
  <c r="K20" i="9"/>
  <c r="L20" i="9" s="1"/>
  <c r="F20" i="9"/>
  <c r="H28" i="5"/>
  <c r="D442" i="2"/>
  <c r="F342" i="2"/>
  <c r="F341" i="2"/>
  <c r="F340" i="2"/>
  <c r="F309" i="2"/>
  <c r="H305" i="1"/>
  <c r="F314" i="5"/>
  <c r="F313" i="5"/>
  <c r="F304" i="5"/>
  <c r="F298" i="5"/>
  <c r="F287" i="5"/>
  <c r="F275" i="5"/>
  <c r="F266" i="5"/>
  <c r="F252" i="5"/>
  <c r="F237" i="5"/>
  <c r="F231" i="5"/>
  <c r="F219" i="5"/>
  <c r="F198" i="5"/>
  <c r="F179" i="5"/>
  <c r="F151" i="5"/>
  <c r="F143" i="5"/>
  <c r="F138" i="5"/>
  <c r="F130" i="5"/>
  <c r="F120" i="5"/>
  <c r="F118" i="5"/>
  <c r="F109" i="5"/>
  <c r="F106" i="5"/>
  <c r="F94" i="5"/>
  <c r="F92" i="5"/>
  <c r="F88" i="5"/>
  <c r="F80" i="5"/>
  <c r="F75" i="5"/>
  <c r="F73" i="5"/>
  <c r="F71" i="5"/>
  <c r="F65" i="5"/>
  <c r="F58" i="5"/>
  <c r="F52" i="5"/>
  <c r="F45" i="5"/>
  <c r="F36" i="5"/>
  <c r="F30" i="5"/>
  <c r="F29" i="5"/>
  <c r="F28" i="5"/>
  <c r="F27" i="5"/>
  <c r="F26" i="5"/>
  <c r="F25" i="5"/>
  <c r="F24" i="5"/>
  <c r="F23" i="5"/>
  <c r="F22" i="5"/>
  <c r="F21" i="5"/>
  <c r="F20" i="5"/>
  <c r="H50" i="5"/>
  <c r="H38" i="5"/>
  <c r="I38" i="5" s="1"/>
  <c r="H37" i="5"/>
  <c r="I37" i="5" s="1"/>
  <c r="H34" i="5"/>
  <c r="H33" i="5"/>
  <c r="H32" i="5"/>
  <c r="H31" i="5"/>
  <c r="F216" i="2"/>
  <c r="H216" i="2" s="1"/>
  <c r="H210" i="2" s="1"/>
  <c r="H321" i="2"/>
  <c r="H228" i="2"/>
  <c r="H222" i="2" s="1"/>
  <c r="I42" i="5"/>
  <c r="H186" i="2"/>
  <c r="H172" i="2"/>
  <c r="H174" i="2"/>
  <c r="H155" i="2"/>
  <c r="H146" i="2"/>
  <c r="H130" i="2"/>
  <c r="R377" i="2"/>
  <c r="F279" i="2"/>
  <c r="H279" i="2" s="1"/>
  <c r="F281" i="2"/>
  <c r="G416" i="2"/>
  <c r="H416" i="2" s="1"/>
  <c r="J266" i="9" l="1"/>
  <c r="F35" i="9"/>
  <c r="L89" i="9"/>
  <c r="M89" i="9" s="1"/>
  <c r="L99" i="9"/>
  <c r="M99" i="9" s="1"/>
  <c r="L125" i="9"/>
  <c r="M125" i="9" s="1"/>
  <c r="K138" i="9"/>
  <c r="L171" i="9"/>
  <c r="M171" i="9" s="1"/>
  <c r="L182" i="9"/>
  <c r="M182" i="9" s="1"/>
  <c r="L259" i="9"/>
  <c r="M259" i="9" s="1"/>
  <c r="L188" i="9"/>
  <c r="M188" i="9" s="1"/>
  <c r="L199" i="9"/>
  <c r="M199" i="9" s="1"/>
  <c r="F297" i="9"/>
  <c r="M297" i="9" s="1"/>
  <c r="L95" i="9"/>
  <c r="M95" i="9" s="1"/>
  <c r="L142" i="9"/>
  <c r="M142" i="9" s="1"/>
  <c r="L172" i="9"/>
  <c r="M172" i="9" s="1"/>
  <c r="L177" i="9"/>
  <c r="M177" i="9" s="1"/>
  <c r="L209" i="9"/>
  <c r="M209" i="9" s="1"/>
  <c r="L255" i="9"/>
  <c r="M255" i="9" s="1"/>
  <c r="L288" i="9"/>
  <c r="M288" i="9" s="1"/>
  <c r="M298" i="9"/>
  <c r="L303" i="9"/>
  <c r="M303" i="9" s="1"/>
  <c r="J312" i="9"/>
  <c r="L158" i="9"/>
  <c r="M158" i="9" s="1"/>
  <c r="L189" i="9"/>
  <c r="M189" i="9" s="1"/>
  <c r="J237" i="9"/>
  <c r="L101" i="9"/>
  <c r="M101" i="9" s="1"/>
  <c r="L168" i="9"/>
  <c r="M168" i="9" s="1"/>
  <c r="L173" i="9"/>
  <c r="M173" i="9" s="1"/>
  <c r="L195" i="9"/>
  <c r="M195" i="9" s="1"/>
  <c r="L261" i="9"/>
  <c r="M261" i="9" s="1"/>
  <c r="L267" i="9"/>
  <c r="M267" i="9" s="1"/>
  <c r="L278" i="9"/>
  <c r="M278" i="9" s="1"/>
  <c r="J65" i="9"/>
  <c r="L117" i="9"/>
  <c r="M117" i="9" s="1"/>
  <c r="K275" i="9"/>
  <c r="M314" i="9"/>
  <c r="L123" i="9"/>
  <c r="M123" i="9" s="1"/>
  <c r="H488" i="10"/>
  <c r="H468" i="10"/>
  <c r="L81" i="9"/>
  <c r="L134" i="9"/>
  <c r="M134" i="9" s="1"/>
  <c r="L180" i="9"/>
  <c r="L262" i="9"/>
  <c r="M262" i="9" s="1"/>
  <c r="L310" i="9"/>
  <c r="M310" i="9" s="1"/>
  <c r="L103" i="9"/>
  <c r="M103" i="9" s="1"/>
  <c r="L285" i="9"/>
  <c r="M285" i="9" s="1"/>
  <c r="H195" i="10"/>
  <c r="L156" i="9"/>
  <c r="M156" i="9" s="1"/>
  <c r="L258" i="9"/>
  <c r="M258" i="9" s="1"/>
  <c r="L269" i="9"/>
  <c r="M269" i="9" s="1"/>
  <c r="L192" i="9"/>
  <c r="M192" i="9" s="1"/>
  <c r="L229" i="9"/>
  <c r="M229" i="9" s="1"/>
  <c r="L253" i="9"/>
  <c r="M253" i="9" s="1"/>
  <c r="L280" i="9"/>
  <c r="M280" i="9" s="1"/>
  <c r="J88" i="9"/>
  <c r="F129" i="9"/>
  <c r="L166" i="9"/>
  <c r="M166" i="9" s="1"/>
  <c r="L218" i="9"/>
  <c r="M218" i="9" s="1"/>
  <c r="L39" i="9"/>
  <c r="M180" i="9"/>
  <c r="K287" i="9"/>
  <c r="L72" i="9"/>
  <c r="J71" i="9"/>
  <c r="M23" i="9"/>
  <c r="M25" i="9"/>
  <c r="M26" i="9"/>
  <c r="M27" i="9"/>
  <c r="I28" i="9"/>
  <c r="N28" i="9" s="1"/>
  <c r="L37" i="9"/>
  <c r="M37" i="9" s="1"/>
  <c r="L83" i="9"/>
  <c r="M83" i="9" s="1"/>
  <c r="J109" i="9"/>
  <c r="L126" i="9"/>
  <c r="M126" i="9" s="1"/>
  <c r="J219" i="9"/>
  <c r="J231" i="9"/>
  <c r="L284" i="9"/>
  <c r="M284" i="9" s="1"/>
  <c r="L295" i="9"/>
  <c r="M295" i="9" s="1"/>
  <c r="M20" i="9"/>
  <c r="L19" i="9"/>
  <c r="M19" i="9" s="1"/>
  <c r="L40" i="9"/>
  <c r="M40" i="9" s="1"/>
  <c r="F19" i="9"/>
  <c r="K56" i="9"/>
  <c r="K52" i="9" s="1"/>
  <c r="L108" i="9"/>
  <c r="M108" i="9" s="1"/>
  <c r="L122" i="9"/>
  <c r="M122" i="9" s="1"/>
  <c r="K143" i="9"/>
  <c r="L163" i="9"/>
  <c r="M163" i="9" s="1"/>
  <c r="L175" i="9"/>
  <c r="M175" i="9" s="1"/>
  <c r="L203" i="9"/>
  <c r="M203" i="9" s="1"/>
  <c r="K198" i="9"/>
  <c r="J19" i="9"/>
  <c r="M39" i="9"/>
  <c r="L42" i="9"/>
  <c r="M42" i="9" s="1"/>
  <c r="L55" i="9"/>
  <c r="M55" i="9" s="1"/>
  <c r="L56" i="9"/>
  <c r="M56" i="9" s="1"/>
  <c r="L74" i="9"/>
  <c r="L84" i="9"/>
  <c r="M84" i="9" s="1"/>
  <c r="L86" i="9"/>
  <c r="M86" i="9" s="1"/>
  <c r="L96" i="9"/>
  <c r="M96" i="9" s="1"/>
  <c r="L98" i="9"/>
  <c r="M98" i="9" s="1"/>
  <c r="L104" i="9"/>
  <c r="M104" i="9" s="1"/>
  <c r="K120" i="9"/>
  <c r="L133" i="9"/>
  <c r="M133" i="9" s="1"/>
  <c r="L135" i="9"/>
  <c r="M135" i="9" s="1"/>
  <c r="L137" i="9"/>
  <c r="M137" i="9" s="1"/>
  <c r="L160" i="9"/>
  <c r="M160" i="9" s="1"/>
  <c r="L170" i="9"/>
  <c r="M170" i="9" s="1"/>
  <c r="L184" i="9"/>
  <c r="M184" i="9" s="1"/>
  <c r="L187" i="9"/>
  <c r="M187" i="9" s="1"/>
  <c r="L197" i="9"/>
  <c r="M197" i="9" s="1"/>
  <c r="L213" i="9"/>
  <c r="M213" i="9" s="1"/>
  <c r="L217" i="9"/>
  <c r="M217" i="9" s="1"/>
  <c r="L234" i="9"/>
  <c r="M234" i="9" s="1"/>
  <c r="L254" i="9"/>
  <c r="M254" i="9" s="1"/>
  <c r="L260" i="9"/>
  <c r="M260" i="9" s="1"/>
  <c r="L264" i="9"/>
  <c r="M264" i="9" s="1"/>
  <c r="L268" i="9"/>
  <c r="M268" i="9" s="1"/>
  <c r="L274" i="9"/>
  <c r="M274" i="9" s="1"/>
  <c r="L281" i="9"/>
  <c r="M281" i="9" s="1"/>
  <c r="L290" i="9"/>
  <c r="M290" i="9" s="1"/>
  <c r="L308" i="9"/>
  <c r="M308" i="9" s="1"/>
  <c r="L313" i="9"/>
  <c r="M313" i="9" s="1"/>
  <c r="M131" i="9"/>
  <c r="K237" i="9"/>
  <c r="F312" i="9"/>
  <c r="M312" i="9" s="1"/>
  <c r="J73" i="9"/>
  <c r="L43" i="9"/>
  <c r="M43" i="9" s="1"/>
  <c r="F57" i="9"/>
  <c r="L70" i="9"/>
  <c r="M70" i="9" s="1"/>
  <c r="L76" i="9"/>
  <c r="K88" i="9"/>
  <c r="L111" i="9"/>
  <c r="M111" i="9" s="1"/>
  <c r="L124" i="9"/>
  <c r="M124" i="9" s="1"/>
  <c r="L128" i="9"/>
  <c r="M128" i="9" s="1"/>
  <c r="K130" i="9"/>
  <c r="L139" i="9"/>
  <c r="M139" i="9" s="1"/>
  <c r="L141" i="9"/>
  <c r="M141" i="9" s="1"/>
  <c r="L147" i="9"/>
  <c r="M147" i="9" s="1"/>
  <c r="L149" i="9"/>
  <c r="M149" i="9" s="1"/>
  <c r="L154" i="9"/>
  <c r="M154" i="9" s="1"/>
  <c r="L159" i="9"/>
  <c r="M159" i="9" s="1"/>
  <c r="L164" i="9"/>
  <c r="M164" i="9" s="1"/>
  <c r="L169" i="9"/>
  <c r="M169" i="9" s="1"/>
  <c r="L174" i="9"/>
  <c r="M174" i="9" s="1"/>
  <c r="L176" i="9"/>
  <c r="M176" i="9" s="1"/>
  <c r="L185" i="9"/>
  <c r="M185" i="9" s="1"/>
  <c r="L186" i="9"/>
  <c r="M186" i="9" s="1"/>
  <c r="L191" i="9"/>
  <c r="M191" i="9" s="1"/>
  <c r="L193" i="9"/>
  <c r="M193" i="9" s="1"/>
  <c r="L196" i="9"/>
  <c r="M196" i="9" s="1"/>
  <c r="L215" i="9"/>
  <c r="M215" i="9" s="1"/>
  <c r="L226" i="9"/>
  <c r="M226" i="9" s="1"/>
  <c r="L230" i="9"/>
  <c r="M230" i="9" s="1"/>
  <c r="K231" i="9"/>
  <c r="L256" i="9"/>
  <c r="M256" i="9" s="1"/>
  <c r="L271" i="9"/>
  <c r="M271" i="9" s="1"/>
  <c r="L272" i="9"/>
  <c r="M272" i="9" s="1"/>
  <c r="L277" i="9"/>
  <c r="M277" i="9" s="1"/>
  <c r="L283" i="9"/>
  <c r="M283" i="9" s="1"/>
  <c r="L294" i="9"/>
  <c r="M294" i="9" s="1"/>
  <c r="K298" i="9"/>
  <c r="L301" i="9"/>
  <c r="M301" i="9" s="1"/>
  <c r="L28" i="9"/>
  <c r="L183" i="9"/>
  <c r="M183" i="9" s="1"/>
  <c r="K179" i="9"/>
  <c r="L68" i="9"/>
  <c r="M68" i="9" s="1"/>
  <c r="L64" i="9"/>
  <c r="M64" i="9" s="1"/>
  <c r="L63" i="9"/>
  <c r="M63" i="9" s="1"/>
  <c r="K58" i="9"/>
  <c r="L61" i="9"/>
  <c r="M61" i="9" s="1"/>
  <c r="L60" i="9"/>
  <c r="M60" i="9" s="1"/>
  <c r="F322" i="9"/>
  <c r="F321" i="9" s="1"/>
  <c r="K322" i="9"/>
  <c r="K321" i="9" s="1"/>
  <c r="L321" i="9" s="1"/>
  <c r="M321" i="9" s="1"/>
  <c r="K75" i="9"/>
  <c r="L51" i="9"/>
  <c r="M51" i="9" s="1"/>
  <c r="K50" i="9"/>
  <c r="L49" i="9"/>
  <c r="M49" i="9" s="1"/>
  <c r="L46" i="9"/>
  <c r="L44" i="9"/>
  <c r="M44" i="9" s="1"/>
  <c r="K38" i="9"/>
  <c r="K36" i="9" s="1"/>
  <c r="J30" i="9"/>
  <c r="L34" i="9"/>
  <c r="M34" i="9" s="1"/>
  <c r="I33" i="9"/>
  <c r="N33" i="9" s="1"/>
  <c r="K19" i="9"/>
  <c r="M28" i="9"/>
  <c r="L33" i="9"/>
  <c r="M33" i="9" s="1"/>
  <c r="L48" i="9"/>
  <c r="M48" i="9" s="1"/>
  <c r="K30" i="9"/>
  <c r="L31" i="9"/>
  <c r="L32" i="9"/>
  <c r="M32" i="9" s="1"/>
  <c r="M81" i="9"/>
  <c r="L79" i="9"/>
  <c r="I31" i="9"/>
  <c r="N31" i="9" s="1"/>
  <c r="I39" i="9"/>
  <c r="N39" i="9" s="1"/>
  <c r="I51" i="9"/>
  <c r="N51" i="9" s="1"/>
  <c r="M59" i="9"/>
  <c r="L66" i="9"/>
  <c r="K80" i="9"/>
  <c r="J94" i="9"/>
  <c r="L121" i="9"/>
  <c r="J120" i="9"/>
  <c r="L140" i="9"/>
  <c r="M140" i="9" s="1"/>
  <c r="J138" i="9"/>
  <c r="L144" i="9"/>
  <c r="M144" i="9" s="1"/>
  <c r="K151" i="9"/>
  <c r="L153" i="9"/>
  <c r="M153" i="9" s="1"/>
  <c r="L181" i="9"/>
  <c r="M181" i="9" s="1"/>
  <c r="J179" i="9"/>
  <c r="L53" i="9"/>
  <c r="M53" i="9" s="1"/>
  <c r="K67" i="9"/>
  <c r="K65" i="9" s="1"/>
  <c r="L69" i="9"/>
  <c r="M69" i="9" s="1"/>
  <c r="L77" i="9"/>
  <c r="M77" i="9" s="1"/>
  <c r="M88" i="9"/>
  <c r="F79" i="9"/>
  <c r="J92" i="9"/>
  <c r="L93" i="9"/>
  <c r="K94" i="9"/>
  <c r="J106" i="9"/>
  <c r="L109" i="9"/>
  <c r="M109" i="9" s="1"/>
  <c r="K109" i="9"/>
  <c r="L113" i="9"/>
  <c r="M113" i="9" s="1"/>
  <c r="J151" i="9"/>
  <c r="L82" i="9"/>
  <c r="M82" i="9" s="1"/>
  <c r="J80" i="9"/>
  <c r="L119" i="9"/>
  <c r="J118" i="9"/>
  <c r="L145" i="9"/>
  <c r="M145" i="9" s="1"/>
  <c r="J143" i="9"/>
  <c r="L115" i="9"/>
  <c r="M115" i="9" s="1"/>
  <c r="J130" i="9"/>
  <c r="L206" i="9"/>
  <c r="M206" i="9" s="1"/>
  <c r="L222" i="9"/>
  <c r="M222" i="9" s="1"/>
  <c r="L275" i="9"/>
  <c r="M275" i="9" s="1"/>
  <c r="M276" i="9"/>
  <c r="L202" i="9"/>
  <c r="M202" i="9" s="1"/>
  <c r="L210" i="9"/>
  <c r="M210" i="9" s="1"/>
  <c r="L220" i="9"/>
  <c r="M220" i="9" s="1"/>
  <c r="L224" i="9"/>
  <c r="M224" i="9" s="1"/>
  <c r="L228" i="9"/>
  <c r="M228" i="9" s="1"/>
  <c r="L263" i="9"/>
  <c r="M263" i="9" s="1"/>
  <c r="K266" i="9"/>
  <c r="J198" i="9"/>
  <c r="L204" i="9"/>
  <c r="M204" i="9" s="1"/>
  <c r="L212" i="9"/>
  <c r="M212" i="9" s="1"/>
  <c r="K219" i="9"/>
  <c r="L223" i="9"/>
  <c r="M223" i="9" s="1"/>
  <c r="L227" i="9"/>
  <c r="M227" i="9" s="1"/>
  <c r="K252" i="9"/>
  <c r="M266" i="9"/>
  <c r="F236" i="9"/>
  <c r="M236" i="9" s="1"/>
  <c r="L292" i="9"/>
  <c r="M292" i="9" s="1"/>
  <c r="J287" i="9"/>
  <c r="L299" i="9"/>
  <c r="M299" i="9" s="1"/>
  <c r="J298" i="9"/>
  <c r="J321" i="9"/>
  <c r="L233" i="9"/>
  <c r="M233" i="9" s="1"/>
  <c r="L235" i="9"/>
  <c r="M235" i="9" s="1"/>
  <c r="L238" i="9"/>
  <c r="M238" i="9" s="1"/>
  <c r="L239" i="9"/>
  <c r="M239" i="9" s="1"/>
  <c r="L240" i="9"/>
  <c r="M240" i="9" s="1"/>
  <c r="L241" i="9"/>
  <c r="M241" i="9" s="1"/>
  <c r="L242" i="9"/>
  <c r="M242" i="9" s="1"/>
  <c r="L243" i="9"/>
  <c r="M243" i="9" s="1"/>
  <c r="L244" i="9"/>
  <c r="M244" i="9" s="1"/>
  <c r="L245" i="9"/>
  <c r="M245" i="9" s="1"/>
  <c r="L246" i="9"/>
  <c r="M246" i="9" s="1"/>
  <c r="L247" i="9"/>
  <c r="M247" i="9" s="1"/>
  <c r="L248" i="9"/>
  <c r="M248" i="9" s="1"/>
  <c r="L249" i="9"/>
  <c r="M249" i="9" s="1"/>
  <c r="L250" i="9"/>
  <c r="M250" i="9" s="1"/>
  <c r="L257" i="9"/>
  <c r="M257" i="9" s="1"/>
  <c r="L265" i="9"/>
  <c r="M265" i="9" s="1"/>
  <c r="L270" i="9"/>
  <c r="M270" i="9" s="1"/>
  <c r="J275" i="9"/>
  <c r="L306" i="9"/>
  <c r="M306" i="9" s="1"/>
  <c r="J304" i="9"/>
  <c r="K312" i="9"/>
  <c r="F236" i="5"/>
  <c r="F57" i="5"/>
  <c r="F79" i="5"/>
  <c r="F35" i="5"/>
  <c r="F129" i="5"/>
  <c r="F312" i="5"/>
  <c r="F19" i="5"/>
  <c r="F297" i="5"/>
  <c r="H162" i="2"/>
  <c r="H169" i="2"/>
  <c r="D96" i="2"/>
  <c r="D97" i="2"/>
  <c r="F96" i="2"/>
  <c r="F95" i="2"/>
  <c r="F94" i="2"/>
  <c r="D95" i="2"/>
  <c r="D94" i="2"/>
  <c r="K213" i="3"/>
  <c r="C213" i="3"/>
  <c r="K200" i="3"/>
  <c r="C200" i="3"/>
  <c r="K187" i="3"/>
  <c r="C187" i="3"/>
  <c r="K174" i="3"/>
  <c r="C174" i="3"/>
  <c r="K157" i="3"/>
  <c r="C157" i="3"/>
  <c r="K144" i="3"/>
  <c r="C144" i="3"/>
  <c r="K131" i="3"/>
  <c r="C131" i="3"/>
  <c r="K226" i="3"/>
  <c r="C226" i="3"/>
  <c r="K238" i="3"/>
  <c r="C238" i="3"/>
  <c r="H39" i="5"/>
  <c r="H265" i="2"/>
  <c r="H256" i="2" s="1"/>
  <c r="H152" i="2"/>
  <c r="H151" i="2"/>
  <c r="E149" i="2"/>
  <c r="C149" i="2"/>
  <c r="C160" i="2"/>
  <c r="E160" i="2"/>
  <c r="H147" i="2"/>
  <c r="L94" i="9" l="1"/>
  <c r="M94" i="9" s="1"/>
  <c r="K129" i="9"/>
  <c r="L75" i="9"/>
  <c r="M75" i="9" s="1"/>
  <c r="M31" i="9"/>
  <c r="L30" i="9"/>
  <c r="M30" i="9" s="1"/>
  <c r="L179" i="9"/>
  <c r="M179" i="9" s="1"/>
  <c r="M46" i="9"/>
  <c r="L71" i="9"/>
  <c r="M71" i="9" s="1"/>
  <c r="M72" i="9"/>
  <c r="L58" i="9"/>
  <c r="M58" i="9" s="1"/>
  <c r="K45" i="9"/>
  <c r="K35" i="9" s="1"/>
  <c r="M76" i="9"/>
  <c r="L130" i="9"/>
  <c r="L129" i="9" s="1"/>
  <c r="M129" i="9" s="1"/>
  <c r="L38" i="9"/>
  <c r="L36" i="9" s="1"/>
  <c r="M36" i="9" s="1"/>
  <c r="L50" i="9"/>
  <c r="L322" i="9"/>
  <c r="M322" i="9" s="1"/>
  <c r="M121" i="9"/>
  <c r="L120" i="9"/>
  <c r="M120" i="9" s="1"/>
  <c r="M74" i="9"/>
  <c r="L73" i="9"/>
  <c r="M73" i="9" s="1"/>
  <c r="M66" i="9"/>
  <c r="J35" i="9"/>
  <c r="M119" i="9"/>
  <c r="L118" i="9"/>
  <c r="M118" i="9" s="1"/>
  <c r="L67" i="9"/>
  <c r="M67" i="9" s="1"/>
  <c r="F316" i="9"/>
  <c r="M93" i="9"/>
  <c r="L92" i="9"/>
  <c r="M92" i="9" s="1"/>
  <c r="M79" i="9"/>
  <c r="H149" i="2"/>
  <c r="H153" i="2"/>
  <c r="J316" i="9" l="1"/>
  <c r="J324" i="9" s="1"/>
  <c r="M38" i="9"/>
  <c r="L45" i="9"/>
  <c r="M45" i="9" s="1"/>
  <c r="M130" i="9"/>
  <c r="M50" i="9"/>
  <c r="L65" i="9"/>
  <c r="L57" i="9" s="1"/>
  <c r="N17" i="9" s="1"/>
  <c r="F324" i="9"/>
  <c r="F14" i="9"/>
  <c r="K57" i="9"/>
  <c r="O57" i="9" s="1"/>
  <c r="H145" i="2"/>
  <c r="H139" i="2" s="1"/>
  <c r="H141" i="2"/>
  <c r="E139" i="2"/>
  <c r="C139" i="2"/>
  <c r="H56" i="5"/>
  <c r="D284" i="2"/>
  <c r="F284" i="2" s="1"/>
  <c r="H284" i="2" s="1"/>
  <c r="G202" i="2"/>
  <c r="G203" i="2"/>
  <c r="H350" i="2"/>
  <c r="H346" i="2"/>
  <c r="E344" i="2"/>
  <c r="C344" i="2"/>
  <c r="C356" i="2"/>
  <c r="E356" i="2"/>
  <c r="H358" i="2"/>
  <c r="D463" i="2"/>
  <c r="H463" i="2" s="1"/>
  <c r="H462" i="2"/>
  <c r="D461" i="2"/>
  <c r="H461" i="2" s="1"/>
  <c r="D460" i="2"/>
  <c r="H460" i="2" s="1"/>
  <c r="H452" i="2"/>
  <c r="H449" i="2"/>
  <c r="H448" i="2"/>
  <c r="H447" i="2"/>
  <c r="H446" i="2"/>
  <c r="H445" i="2"/>
  <c r="H444" i="2"/>
  <c r="H443" i="2"/>
  <c r="D451" i="2"/>
  <c r="H451" i="2" s="1"/>
  <c r="H442" i="2"/>
  <c r="D430" i="2"/>
  <c r="H430" i="2" s="1"/>
  <c r="H429" i="2"/>
  <c r="H402" i="2"/>
  <c r="H403" i="2"/>
  <c r="H404" i="2"/>
  <c r="H405" i="2"/>
  <c r="H391" i="2"/>
  <c r="D390" i="2"/>
  <c r="H390" i="2" s="1"/>
  <c r="D388" i="2"/>
  <c r="H388" i="2" s="1"/>
  <c r="D386" i="2"/>
  <c r="H386" i="2" s="1"/>
  <c r="H387" i="2"/>
  <c r="H389" i="2"/>
  <c r="H376" i="2"/>
  <c r="H375" i="2"/>
  <c r="H372" i="2"/>
  <c r="H373" i="2"/>
  <c r="H374" i="2"/>
  <c r="H371" i="2"/>
  <c r="H342" i="2"/>
  <c r="H341" i="2"/>
  <c r="H340" i="2"/>
  <c r="H339" i="2"/>
  <c r="H310" i="2"/>
  <c r="H309" i="2"/>
  <c r="H299" i="2"/>
  <c r="H297" i="2"/>
  <c r="H298" i="2"/>
  <c r="H300" i="2"/>
  <c r="H296" i="2"/>
  <c r="H325" i="2"/>
  <c r="H323" i="2"/>
  <c r="H324" i="2"/>
  <c r="H326" i="2"/>
  <c r="H327" i="2"/>
  <c r="H322" i="2"/>
  <c r="H304" i="2"/>
  <c r="E302" i="2"/>
  <c r="C302" i="2"/>
  <c r="G201" i="2"/>
  <c r="G200" i="2"/>
  <c r="H281" i="2"/>
  <c r="F283" i="2"/>
  <c r="H283" i="2" s="1"/>
  <c r="D280" i="2"/>
  <c r="D282" i="2"/>
  <c r="F282" i="2" s="1"/>
  <c r="H282" i="2" s="1"/>
  <c r="H251" i="2"/>
  <c r="H245" i="2"/>
  <c r="H246" i="2"/>
  <c r="H247" i="2"/>
  <c r="H249" i="2"/>
  <c r="H250" i="2"/>
  <c r="H253" i="2"/>
  <c r="H248" i="2"/>
  <c r="G252" i="2"/>
  <c r="H252" i="2" s="1"/>
  <c r="H244" i="2"/>
  <c r="F203" i="2"/>
  <c r="F202" i="2"/>
  <c r="F201" i="2"/>
  <c r="F200" i="2"/>
  <c r="D202" i="2"/>
  <c r="D201" i="2"/>
  <c r="D200" i="2"/>
  <c r="H180" i="2"/>
  <c r="H185" i="2"/>
  <c r="H183" i="2"/>
  <c r="H184" i="2"/>
  <c r="G182" i="2"/>
  <c r="G181" i="2"/>
  <c r="H181" i="2" s="1"/>
  <c r="H179" i="2"/>
  <c r="D136" i="2"/>
  <c r="D134" i="2"/>
  <c r="H177" i="2"/>
  <c r="H178" i="2"/>
  <c r="F129" i="2"/>
  <c r="H176" i="2"/>
  <c r="H175" i="2"/>
  <c r="H173" i="2"/>
  <c r="H170" i="2"/>
  <c r="H171" i="2"/>
  <c r="G111" i="2"/>
  <c r="H111" i="2" s="1"/>
  <c r="H110" i="2"/>
  <c r="H112" i="2"/>
  <c r="H113" i="2"/>
  <c r="H109" i="2"/>
  <c r="M65" i="9" l="1"/>
  <c r="L35" i="9"/>
  <c r="K316" i="9"/>
  <c r="K324" i="9" s="1"/>
  <c r="H313" i="2"/>
  <c r="H201" i="2"/>
  <c r="F280" i="2"/>
  <c r="H280" i="2" s="1"/>
  <c r="H271" i="2" s="1"/>
  <c r="H46" i="5" s="1"/>
  <c r="H225" i="2"/>
  <c r="H234" i="2"/>
  <c r="H142" i="2"/>
  <c r="H143" i="2" s="1"/>
  <c r="H100" i="2"/>
  <c r="H347" i="2"/>
  <c r="H348" i="2" s="1"/>
  <c r="H344" i="2"/>
  <c r="H61" i="5" s="1"/>
  <c r="H457" i="2"/>
  <c r="H454" i="2"/>
  <c r="H432" i="2"/>
  <c r="H382" i="2"/>
  <c r="H368" i="2"/>
  <c r="H379" i="2"/>
  <c r="H365" i="2"/>
  <c r="H67" i="5" s="1"/>
  <c r="H302" i="2"/>
  <c r="H49" i="5" s="1"/>
  <c r="H287" i="2"/>
  <c r="H305" i="2"/>
  <c r="H306" i="2" s="1"/>
  <c r="H182" i="2"/>
  <c r="H160" i="2" s="1"/>
  <c r="H163" i="2" s="1"/>
  <c r="H164" i="2" s="1"/>
  <c r="H203" i="2"/>
  <c r="H202" i="2"/>
  <c r="H200" i="2"/>
  <c r="L316" i="9" l="1"/>
  <c r="M35" i="9"/>
  <c r="L324" i="9"/>
  <c r="H14" i="9"/>
  <c r="M57" i="9"/>
  <c r="H190" i="2"/>
  <c r="M316" i="9" l="1"/>
  <c r="J14" i="9"/>
  <c r="L14" i="9" s="1"/>
  <c r="M324" i="9"/>
  <c r="H97" i="2"/>
  <c r="H96" i="2"/>
  <c r="H456" i="2"/>
  <c r="H458" i="2" s="1"/>
  <c r="E454" i="2"/>
  <c r="C454" i="2"/>
  <c r="E428" i="2"/>
  <c r="H119" i="5" l="1"/>
  <c r="H428" i="2"/>
  <c r="H418" i="2" s="1"/>
  <c r="H121" i="5"/>
  <c r="G415" i="2" l="1"/>
  <c r="H415" i="2" s="1"/>
  <c r="G414" i="2" l="1"/>
  <c r="H414" i="2" s="1"/>
  <c r="H407" i="2" s="1"/>
  <c r="H410" i="2" l="1"/>
  <c r="K119" i="5"/>
  <c r="K76" i="5"/>
  <c r="H409" i="2"/>
  <c r="E407" i="2"/>
  <c r="C407" i="2"/>
  <c r="H401" i="2"/>
  <c r="H400" i="2"/>
  <c r="H395" i="2"/>
  <c r="E393" i="2"/>
  <c r="C393" i="2"/>
  <c r="H381" i="2"/>
  <c r="E379" i="2"/>
  <c r="C379" i="2"/>
  <c r="H336" i="2"/>
  <c r="H337" i="2"/>
  <c r="H338" i="2"/>
  <c r="H335" i="2"/>
  <c r="H320" i="2"/>
  <c r="H319" i="2"/>
  <c r="H294" i="2"/>
  <c r="H295" i="2"/>
  <c r="H48" i="5"/>
  <c r="H293" i="2"/>
  <c r="H263" i="2"/>
  <c r="H264" i="2"/>
  <c r="H262" i="2"/>
  <c r="H241" i="2"/>
  <c r="H242" i="2"/>
  <c r="H243" i="2"/>
  <c r="H240" i="2"/>
  <c r="H213" i="2"/>
  <c r="E432" i="2"/>
  <c r="E418" i="2"/>
  <c r="E365" i="2"/>
  <c r="E329" i="2"/>
  <c r="E313" i="2"/>
  <c r="E287" i="2"/>
  <c r="E271" i="2"/>
  <c r="E256" i="2"/>
  <c r="E234" i="2"/>
  <c r="E222" i="2"/>
  <c r="E210" i="2"/>
  <c r="E190" i="2"/>
  <c r="E116" i="2"/>
  <c r="E85" i="2"/>
  <c r="H367" i="2"/>
  <c r="C365" i="2"/>
  <c r="H363" i="2"/>
  <c r="H356" i="2" s="1"/>
  <c r="H316" i="2" l="1"/>
  <c r="H396" i="2"/>
  <c r="H397" i="2" s="1"/>
  <c r="H393" i="2"/>
  <c r="H329" i="2"/>
  <c r="H51" i="5" s="1"/>
  <c r="H290" i="2"/>
  <c r="H332" i="2"/>
  <c r="H237" i="2"/>
  <c r="H411" i="2"/>
  <c r="H383" i="2"/>
  <c r="H69" i="5"/>
  <c r="H359" i="2"/>
  <c r="H360" i="2" s="1"/>
  <c r="H369" i="2" l="1"/>
  <c r="H224" i="2"/>
  <c r="H226" i="2" s="1"/>
  <c r="C222" i="2"/>
  <c r="N216" i="2" l="1"/>
  <c r="G166" i="2" l="1"/>
  <c r="K34" i="5"/>
  <c r="K33" i="5"/>
  <c r="K31" i="5"/>
  <c r="H129" i="2"/>
  <c r="H116" i="2" s="1"/>
  <c r="H95" i="2"/>
  <c r="H94" i="2"/>
  <c r="N282" i="5"/>
  <c r="N199" i="5"/>
  <c r="N21" i="5"/>
  <c r="N20" i="5"/>
  <c r="H85" i="2" l="1"/>
  <c r="K32" i="5"/>
  <c r="K30" i="5" s="1"/>
  <c r="K37" i="5"/>
  <c r="J20" i="5"/>
  <c r="N306" i="6" l="1"/>
  <c r="K301" i="6" l="1"/>
  <c r="K300" i="6"/>
  <c r="L300" i="6" s="1"/>
  <c r="K298" i="6"/>
  <c r="K297" i="6"/>
  <c r="K296" i="6"/>
  <c r="K295" i="6"/>
  <c r="L295" i="6" s="1"/>
  <c r="K294" i="6"/>
  <c r="K293" i="6"/>
  <c r="L293" i="6" s="1"/>
  <c r="K292" i="6"/>
  <c r="K290" i="6"/>
  <c r="K289" i="6"/>
  <c r="K288" i="6"/>
  <c r="K287" i="6"/>
  <c r="K286" i="6"/>
  <c r="K283" i="6"/>
  <c r="K282" i="6"/>
  <c r="K281" i="6"/>
  <c r="K280" i="6"/>
  <c r="L280" i="6" s="1"/>
  <c r="K279" i="6"/>
  <c r="K278" i="6"/>
  <c r="K277" i="6"/>
  <c r="K276" i="6"/>
  <c r="K275" i="6"/>
  <c r="K273" i="6"/>
  <c r="K272" i="6"/>
  <c r="K271" i="6"/>
  <c r="K270" i="6"/>
  <c r="K269" i="6"/>
  <c r="K268" i="6"/>
  <c r="K267" i="6"/>
  <c r="K266" i="6"/>
  <c r="K265" i="6"/>
  <c r="K264" i="6"/>
  <c r="K263" i="6"/>
  <c r="K261" i="6"/>
  <c r="K260" i="6"/>
  <c r="K259" i="6"/>
  <c r="L259" i="6" s="1"/>
  <c r="K258" i="6"/>
  <c r="L258" i="6" s="1"/>
  <c r="K257" i="6"/>
  <c r="K256" i="6"/>
  <c r="K255" i="6"/>
  <c r="K254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8" i="6"/>
  <c r="K237" i="6"/>
  <c r="K236" i="6"/>
  <c r="K235" i="6"/>
  <c r="K234" i="6"/>
  <c r="L234" i="6" s="1"/>
  <c r="K233" i="6"/>
  <c r="L233" i="6" s="1"/>
  <c r="K232" i="6"/>
  <c r="K231" i="6"/>
  <c r="L231" i="6" s="1"/>
  <c r="K230" i="6"/>
  <c r="L230" i="6" s="1"/>
  <c r="K229" i="6"/>
  <c r="K228" i="6"/>
  <c r="K227" i="6"/>
  <c r="K226" i="6"/>
  <c r="K225" i="6"/>
  <c r="K222" i="6"/>
  <c r="K221" i="6"/>
  <c r="K220" i="6"/>
  <c r="K219" i="6"/>
  <c r="K217" i="6"/>
  <c r="K216" i="6"/>
  <c r="K215" i="6"/>
  <c r="K214" i="6"/>
  <c r="K213" i="6"/>
  <c r="K212" i="6"/>
  <c r="K211" i="6"/>
  <c r="K210" i="6"/>
  <c r="K209" i="6"/>
  <c r="K208" i="6"/>
  <c r="K207" i="6"/>
  <c r="K205" i="6"/>
  <c r="K204" i="6"/>
  <c r="K203" i="6"/>
  <c r="K202" i="6"/>
  <c r="K201" i="6"/>
  <c r="K200" i="6"/>
  <c r="L200" i="6" s="1"/>
  <c r="K199" i="6"/>
  <c r="K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L186" i="6" s="1"/>
  <c r="K184" i="6"/>
  <c r="K183" i="6"/>
  <c r="K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5" i="6"/>
  <c r="L165" i="6" s="1"/>
  <c r="K164" i="6"/>
  <c r="K163" i="6"/>
  <c r="K162" i="6"/>
  <c r="K161" i="6"/>
  <c r="K160" i="6"/>
  <c r="L160" i="6" s="1"/>
  <c r="K159" i="6"/>
  <c r="K158" i="6"/>
  <c r="K157" i="6"/>
  <c r="L157" i="6" s="1"/>
  <c r="K156" i="6"/>
  <c r="L156" i="6" s="1"/>
  <c r="K155" i="6"/>
  <c r="K154" i="6"/>
  <c r="K153" i="6"/>
  <c r="K152" i="6"/>
  <c r="K151" i="6"/>
  <c r="K150" i="6"/>
  <c r="L150" i="6" s="1"/>
  <c r="K149" i="6"/>
  <c r="K148" i="6"/>
  <c r="K147" i="6"/>
  <c r="K146" i="6"/>
  <c r="K145" i="6"/>
  <c r="K144" i="6"/>
  <c r="L144" i="6" s="1"/>
  <c r="K143" i="6"/>
  <c r="K142" i="6"/>
  <c r="K141" i="6"/>
  <c r="K140" i="6"/>
  <c r="K139" i="6"/>
  <c r="K137" i="6"/>
  <c r="K136" i="6"/>
  <c r="K135" i="6"/>
  <c r="K134" i="6"/>
  <c r="K133" i="6"/>
  <c r="K132" i="6"/>
  <c r="K131" i="6"/>
  <c r="K129" i="6"/>
  <c r="K128" i="6"/>
  <c r="K127" i="6"/>
  <c r="K126" i="6"/>
  <c r="K124" i="6"/>
  <c r="K123" i="6"/>
  <c r="K122" i="6"/>
  <c r="K121" i="6"/>
  <c r="K120" i="6"/>
  <c r="K119" i="6"/>
  <c r="K118" i="6"/>
  <c r="K115" i="6"/>
  <c r="K114" i="6"/>
  <c r="L114" i="6" s="1"/>
  <c r="K113" i="6"/>
  <c r="K112" i="6"/>
  <c r="K111" i="6"/>
  <c r="L111" i="6" s="1"/>
  <c r="K110" i="6"/>
  <c r="K109" i="6"/>
  <c r="K108" i="6"/>
  <c r="L108" i="6" s="1"/>
  <c r="K106" i="6"/>
  <c r="K104" i="6"/>
  <c r="K103" i="6"/>
  <c r="K102" i="6"/>
  <c r="K101" i="6"/>
  <c r="K100" i="6"/>
  <c r="K99" i="6"/>
  <c r="K98" i="6"/>
  <c r="K97" i="6"/>
  <c r="K95" i="6"/>
  <c r="K94" i="6"/>
  <c r="K92" i="6"/>
  <c r="L92" i="6" s="1"/>
  <c r="K91" i="6"/>
  <c r="K90" i="6"/>
  <c r="K89" i="6"/>
  <c r="L89" i="6" s="1"/>
  <c r="M89" i="6" s="1"/>
  <c r="N89" i="6" s="1"/>
  <c r="K88" i="6"/>
  <c r="K87" i="6"/>
  <c r="K86" i="6"/>
  <c r="L86" i="6" s="1"/>
  <c r="M86" i="6" s="1"/>
  <c r="N86" i="6" s="1"/>
  <c r="K85" i="6"/>
  <c r="K84" i="6"/>
  <c r="K83" i="6"/>
  <c r="L83" i="6" s="1"/>
  <c r="M83" i="6" s="1"/>
  <c r="N83" i="6" s="1"/>
  <c r="K82" i="6"/>
  <c r="K80" i="6"/>
  <c r="L80" i="6" s="1"/>
  <c r="M80" i="6" s="1"/>
  <c r="N80" i="6" s="1"/>
  <c r="N79" i="6" s="1"/>
  <c r="K78" i="6"/>
  <c r="L78" i="6" s="1"/>
  <c r="M78" i="6" s="1"/>
  <c r="N78" i="6" s="1"/>
  <c r="K77" i="6"/>
  <c r="K76" i="6"/>
  <c r="K74" i="6"/>
  <c r="L74" i="6" s="1"/>
  <c r="M74" i="6" s="1"/>
  <c r="N74" i="6" s="1"/>
  <c r="K73" i="6"/>
  <c r="K72" i="6"/>
  <c r="K71" i="6"/>
  <c r="L71" i="6" s="1"/>
  <c r="M71" i="6" s="1"/>
  <c r="N71" i="6" s="1"/>
  <c r="K70" i="6"/>
  <c r="K69" i="6"/>
  <c r="K68" i="6"/>
  <c r="L68" i="6" s="1"/>
  <c r="M68" i="6" s="1"/>
  <c r="N68" i="6" s="1"/>
  <c r="K65" i="6"/>
  <c r="L65" i="6" s="1"/>
  <c r="M65" i="6" s="1"/>
  <c r="N65" i="6" s="1"/>
  <c r="K64" i="6"/>
  <c r="K63" i="6"/>
  <c r="K61" i="6"/>
  <c r="L61" i="6" s="1"/>
  <c r="M61" i="6" s="1"/>
  <c r="N61" i="6" s="1"/>
  <c r="N60" i="6" s="1"/>
  <c r="K59" i="6"/>
  <c r="L59" i="6" s="1"/>
  <c r="K57" i="6"/>
  <c r="L57" i="6" s="1"/>
  <c r="M57" i="6" s="1"/>
  <c r="N57" i="6" s="1"/>
  <c r="K56" i="6"/>
  <c r="K55" i="6"/>
  <c r="K54" i="6"/>
  <c r="L54" i="6" s="1"/>
  <c r="M54" i="6" s="1"/>
  <c r="N54" i="6" s="1"/>
  <c r="K53" i="6"/>
  <c r="K51" i="6"/>
  <c r="K50" i="6"/>
  <c r="L50" i="6" s="1"/>
  <c r="M50" i="6" s="1"/>
  <c r="N50" i="6" s="1"/>
  <c r="K49" i="6"/>
  <c r="L49" i="6" s="1"/>
  <c r="M49" i="6" s="1"/>
  <c r="N49" i="6" s="1"/>
  <c r="K48" i="6"/>
  <c r="K47" i="6"/>
  <c r="L47" i="6" s="1"/>
  <c r="M47" i="6" s="1"/>
  <c r="N47" i="6" s="1"/>
  <c r="K46" i="6"/>
  <c r="L46" i="6" s="1"/>
  <c r="M46" i="6" s="1"/>
  <c r="N46" i="6" s="1"/>
  <c r="K43" i="6"/>
  <c r="K42" i="6"/>
  <c r="K41" i="6"/>
  <c r="K40" i="6"/>
  <c r="K38" i="6"/>
  <c r="L38" i="6" s="1"/>
  <c r="M38" i="6" s="1"/>
  <c r="N38" i="6" s="1"/>
  <c r="K37" i="6"/>
  <c r="K36" i="6"/>
  <c r="K35" i="6"/>
  <c r="L35" i="6" s="1"/>
  <c r="M35" i="6" s="1"/>
  <c r="N35" i="6" s="1"/>
  <c r="K34" i="6"/>
  <c r="K33" i="6"/>
  <c r="K31" i="6"/>
  <c r="K30" i="6"/>
  <c r="K29" i="6"/>
  <c r="K28" i="6"/>
  <c r="K27" i="6"/>
  <c r="L27" i="6" s="1"/>
  <c r="K26" i="6"/>
  <c r="L26" i="6" s="1"/>
  <c r="K25" i="6"/>
  <c r="K24" i="6"/>
  <c r="L24" i="6" s="1"/>
  <c r="K21" i="6"/>
  <c r="L21" i="6" s="1"/>
  <c r="M21" i="6" s="1"/>
  <c r="N21" i="6" s="1"/>
  <c r="K20" i="6"/>
  <c r="K19" i="6"/>
  <c r="K18" i="6"/>
  <c r="L18" i="6" s="1"/>
  <c r="M18" i="6" s="1"/>
  <c r="N18" i="6" s="1"/>
  <c r="K8" i="6"/>
  <c r="L8" i="6" s="1"/>
  <c r="M8" i="6" s="1"/>
  <c r="N8" i="6" s="1"/>
  <c r="K9" i="6"/>
  <c r="L9" i="6" s="1"/>
  <c r="K10" i="6"/>
  <c r="K11" i="6"/>
  <c r="K12" i="6"/>
  <c r="L12" i="6" s="1"/>
  <c r="K13" i="6"/>
  <c r="L13" i="6" s="1"/>
  <c r="K14" i="6"/>
  <c r="K15" i="6"/>
  <c r="L15" i="6" s="1"/>
  <c r="M15" i="6" s="1"/>
  <c r="N15" i="6" s="1"/>
  <c r="K16" i="6"/>
  <c r="L16" i="6" s="1"/>
  <c r="K7" i="6"/>
  <c r="K118" i="5"/>
  <c r="E439" i="2"/>
  <c r="H439" i="2" s="1"/>
  <c r="H322" i="5"/>
  <c r="E322" i="5"/>
  <c r="J322" i="5" s="1"/>
  <c r="J321" i="5" s="1"/>
  <c r="K314" i="5"/>
  <c r="J314" i="5"/>
  <c r="I314" i="5"/>
  <c r="N314" i="5" s="1"/>
  <c r="K313" i="5"/>
  <c r="J313" i="5"/>
  <c r="I313" i="5"/>
  <c r="N313" i="5" s="1"/>
  <c r="M312" i="5"/>
  <c r="K311" i="5"/>
  <c r="J311" i="5"/>
  <c r="I311" i="5"/>
  <c r="N311" i="5" s="1"/>
  <c r="K310" i="5"/>
  <c r="J310" i="5"/>
  <c r="I310" i="5"/>
  <c r="N310" i="5" s="1"/>
  <c r="K309" i="5"/>
  <c r="J309" i="5"/>
  <c r="I309" i="5"/>
  <c r="N309" i="5" s="1"/>
  <c r="K308" i="5"/>
  <c r="J308" i="5"/>
  <c r="I308" i="5"/>
  <c r="N308" i="5" s="1"/>
  <c r="K307" i="5"/>
  <c r="J307" i="5"/>
  <c r="I307" i="5"/>
  <c r="N307" i="5" s="1"/>
  <c r="K306" i="5"/>
  <c r="J306" i="5"/>
  <c r="I306" i="5"/>
  <c r="N306" i="5" s="1"/>
  <c r="K305" i="5"/>
  <c r="J305" i="5"/>
  <c r="I305" i="5"/>
  <c r="N305" i="5" s="1"/>
  <c r="M304" i="5"/>
  <c r="K303" i="5"/>
  <c r="J303" i="5"/>
  <c r="I303" i="5"/>
  <c r="N303" i="5" s="1"/>
  <c r="K302" i="5"/>
  <c r="J302" i="5"/>
  <c r="I302" i="5"/>
  <c r="N302" i="5" s="1"/>
  <c r="K301" i="5"/>
  <c r="J301" i="5"/>
  <c r="I301" i="5"/>
  <c r="N301" i="5" s="1"/>
  <c r="K300" i="5"/>
  <c r="J300" i="5"/>
  <c r="I300" i="5"/>
  <c r="N300" i="5" s="1"/>
  <c r="K299" i="5"/>
  <c r="J299" i="5"/>
  <c r="I299" i="5"/>
  <c r="N299" i="5" s="1"/>
  <c r="M298" i="5"/>
  <c r="K296" i="5"/>
  <c r="J296" i="5"/>
  <c r="I296" i="5"/>
  <c r="N296" i="5" s="1"/>
  <c r="K295" i="5"/>
  <c r="J295" i="5"/>
  <c r="I295" i="5"/>
  <c r="N295" i="5" s="1"/>
  <c r="K294" i="5"/>
  <c r="J294" i="5"/>
  <c r="I294" i="5"/>
  <c r="N294" i="5" s="1"/>
  <c r="K293" i="5"/>
  <c r="J293" i="5"/>
  <c r="I293" i="5"/>
  <c r="N293" i="5" s="1"/>
  <c r="K292" i="5"/>
  <c r="J292" i="5"/>
  <c r="I292" i="5"/>
  <c r="N292" i="5" s="1"/>
  <c r="K291" i="5"/>
  <c r="J291" i="5"/>
  <c r="I291" i="5"/>
  <c r="N291" i="5" s="1"/>
  <c r="K290" i="5"/>
  <c r="J290" i="5"/>
  <c r="I290" i="5"/>
  <c r="N290" i="5" s="1"/>
  <c r="K289" i="5"/>
  <c r="J289" i="5"/>
  <c r="I289" i="5"/>
  <c r="N289" i="5" s="1"/>
  <c r="K288" i="5"/>
  <c r="J288" i="5"/>
  <c r="I288" i="5"/>
  <c r="N288" i="5" s="1"/>
  <c r="M287" i="5"/>
  <c r="K286" i="5"/>
  <c r="J286" i="5"/>
  <c r="I286" i="5"/>
  <c r="N286" i="5" s="1"/>
  <c r="K285" i="5"/>
  <c r="J285" i="5"/>
  <c r="I285" i="5"/>
  <c r="N285" i="5" s="1"/>
  <c r="K284" i="5"/>
  <c r="J284" i="5"/>
  <c r="I284" i="5"/>
  <c r="N284" i="5" s="1"/>
  <c r="K283" i="5"/>
  <c r="J283" i="5"/>
  <c r="I283" i="5"/>
  <c r="N283" i="5" s="1"/>
  <c r="M282" i="5"/>
  <c r="K281" i="5"/>
  <c r="J281" i="5"/>
  <c r="I281" i="5"/>
  <c r="N281" i="5" s="1"/>
  <c r="K280" i="5"/>
  <c r="J280" i="5"/>
  <c r="I280" i="5"/>
  <c r="N280" i="5" s="1"/>
  <c r="K279" i="5"/>
  <c r="J279" i="5"/>
  <c r="I279" i="5"/>
  <c r="N279" i="5" s="1"/>
  <c r="K278" i="5"/>
  <c r="J278" i="5"/>
  <c r="I278" i="5"/>
  <c r="N278" i="5" s="1"/>
  <c r="K277" i="5"/>
  <c r="J277" i="5"/>
  <c r="I277" i="5"/>
  <c r="N277" i="5" s="1"/>
  <c r="K276" i="5"/>
  <c r="J276" i="5"/>
  <c r="I276" i="5"/>
  <c r="N276" i="5" s="1"/>
  <c r="K274" i="5"/>
  <c r="J274" i="5"/>
  <c r="I274" i="5"/>
  <c r="N274" i="5" s="1"/>
  <c r="K273" i="5"/>
  <c r="J273" i="5"/>
  <c r="I273" i="5"/>
  <c r="N273" i="5" s="1"/>
  <c r="K272" i="5"/>
  <c r="J272" i="5"/>
  <c r="I272" i="5"/>
  <c r="N272" i="5" s="1"/>
  <c r="K271" i="5"/>
  <c r="J271" i="5"/>
  <c r="I271" i="5"/>
  <c r="N271" i="5" s="1"/>
  <c r="K270" i="5"/>
  <c r="J270" i="5"/>
  <c r="I270" i="5"/>
  <c r="N270" i="5" s="1"/>
  <c r="K269" i="5"/>
  <c r="J269" i="5"/>
  <c r="I269" i="5"/>
  <c r="N269" i="5" s="1"/>
  <c r="K268" i="5"/>
  <c r="J268" i="5"/>
  <c r="I268" i="5"/>
  <c r="N268" i="5" s="1"/>
  <c r="K267" i="5"/>
  <c r="J267" i="5"/>
  <c r="I267" i="5"/>
  <c r="N267" i="5" s="1"/>
  <c r="K265" i="5"/>
  <c r="J265" i="5"/>
  <c r="I265" i="5"/>
  <c r="N265" i="5" s="1"/>
  <c r="K264" i="5"/>
  <c r="J264" i="5"/>
  <c r="I264" i="5"/>
  <c r="N264" i="5" s="1"/>
  <c r="K263" i="5"/>
  <c r="J263" i="5"/>
  <c r="I263" i="5"/>
  <c r="N263" i="5" s="1"/>
  <c r="K262" i="5"/>
  <c r="J262" i="5"/>
  <c r="I262" i="5"/>
  <c r="N262" i="5" s="1"/>
  <c r="K261" i="5"/>
  <c r="J261" i="5"/>
  <c r="I261" i="5"/>
  <c r="N261" i="5" s="1"/>
  <c r="K260" i="5"/>
  <c r="J260" i="5"/>
  <c r="I260" i="5"/>
  <c r="N260" i="5" s="1"/>
  <c r="K259" i="5"/>
  <c r="J259" i="5"/>
  <c r="L259" i="5" s="1"/>
  <c r="M259" i="5" s="1"/>
  <c r="I259" i="5"/>
  <c r="N259" i="5" s="1"/>
  <c r="K258" i="5"/>
  <c r="J258" i="5"/>
  <c r="I258" i="5"/>
  <c r="N258" i="5" s="1"/>
  <c r="K257" i="5"/>
  <c r="J257" i="5"/>
  <c r="I257" i="5"/>
  <c r="N257" i="5" s="1"/>
  <c r="K256" i="5"/>
  <c r="J256" i="5"/>
  <c r="I256" i="5"/>
  <c r="N256" i="5" s="1"/>
  <c r="K255" i="5"/>
  <c r="J255" i="5"/>
  <c r="I255" i="5"/>
  <c r="N255" i="5" s="1"/>
  <c r="K254" i="5"/>
  <c r="J254" i="5"/>
  <c r="I254" i="5"/>
  <c r="N254" i="5" s="1"/>
  <c r="K253" i="5"/>
  <c r="J253" i="5"/>
  <c r="I253" i="5"/>
  <c r="N253" i="5" s="1"/>
  <c r="M252" i="5"/>
  <c r="K251" i="5"/>
  <c r="J251" i="5"/>
  <c r="I251" i="5"/>
  <c r="N251" i="5" s="1"/>
  <c r="K250" i="5"/>
  <c r="J250" i="5"/>
  <c r="I250" i="5"/>
  <c r="N250" i="5" s="1"/>
  <c r="K249" i="5"/>
  <c r="J249" i="5"/>
  <c r="I249" i="5"/>
  <c r="N249" i="5" s="1"/>
  <c r="K248" i="5"/>
  <c r="J248" i="5"/>
  <c r="I248" i="5"/>
  <c r="N248" i="5" s="1"/>
  <c r="K247" i="5"/>
  <c r="J247" i="5"/>
  <c r="I247" i="5"/>
  <c r="N247" i="5" s="1"/>
  <c r="K246" i="5"/>
  <c r="J246" i="5"/>
  <c r="I246" i="5"/>
  <c r="N246" i="5" s="1"/>
  <c r="K245" i="5"/>
  <c r="J245" i="5"/>
  <c r="I245" i="5"/>
  <c r="N245" i="5" s="1"/>
  <c r="K244" i="5"/>
  <c r="J244" i="5"/>
  <c r="I244" i="5"/>
  <c r="N244" i="5" s="1"/>
  <c r="K243" i="5"/>
  <c r="J243" i="5"/>
  <c r="I243" i="5"/>
  <c r="N243" i="5" s="1"/>
  <c r="K242" i="5"/>
  <c r="J242" i="5"/>
  <c r="I242" i="5"/>
  <c r="N242" i="5" s="1"/>
  <c r="K241" i="5"/>
  <c r="J241" i="5"/>
  <c r="I241" i="5"/>
  <c r="N241" i="5" s="1"/>
  <c r="K240" i="5"/>
  <c r="J240" i="5"/>
  <c r="I240" i="5"/>
  <c r="N240" i="5" s="1"/>
  <c r="K239" i="5"/>
  <c r="J239" i="5"/>
  <c r="I239" i="5"/>
  <c r="N239" i="5" s="1"/>
  <c r="K238" i="5"/>
  <c r="J238" i="5"/>
  <c r="I238" i="5"/>
  <c r="N238" i="5" s="1"/>
  <c r="M237" i="5"/>
  <c r="K235" i="5"/>
  <c r="J235" i="5"/>
  <c r="I235" i="5"/>
  <c r="N235" i="5" s="1"/>
  <c r="K234" i="5"/>
  <c r="J234" i="5"/>
  <c r="L234" i="5" s="1"/>
  <c r="M234" i="5" s="1"/>
  <c r="I234" i="5"/>
  <c r="N234" i="5" s="1"/>
  <c r="K233" i="5"/>
  <c r="J233" i="5"/>
  <c r="I233" i="5"/>
  <c r="N233" i="5" s="1"/>
  <c r="K232" i="5"/>
  <c r="J232" i="5"/>
  <c r="I232" i="5"/>
  <c r="N232" i="5" s="1"/>
  <c r="M231" i="5"/>
  <c r="K230" i="5"/>
  <c r="J230" i="5"/>
  <c r="I230" i="5"/>
  <c r="N230" i="5" s="1"/>
  <c r="K229" i="5"/>
  <c r="J229" i="5"/>
  <c r="I229" i="5"/>
  <c r="N229" i="5" s="1"/>
  <c r="K228" i="5"/>
  <c r="J228" i="5"/>
  <c r="I228" i="5"/>
  <c r="N228" i="5" s="1"/>
  <c r="K227" i="5"/>
  <c r="J227" i="5"/>
  <c r="I227" i="5"/>
  <c r="N227" i="5" s="1"/>
  <c r="K226" i="5"/>
  <c r="J226" i="5"/>
  <c r="I226" i="5"/>
  <c r="N226" i="5" s="1"/>
  <c r="K225" i="5"/>
  <c r="J225" i="5"/>
  <c r="I225" i="5"/>
  <c r="N225" i="5" s="1"/>
  <c r="K224" i="5"/>
  <c r="J224" i="5"/>
  <c r="I224" i="5"/>
  <c r="N224" i="5" s="1"/>
  <c r="K223" i="5"/>
  <c r="J223" i="5"/>
  <c r="I223" i="5"/>
  <c r="N223" i="5" s="1"/>
  <c r="K222" i="5"/>
  <c r="J222" i="5"/>
  <c r="I222" i="5"/>
  <c r="N222" i="5" s="1"/>
  <c r="K221" i="5"/>
  <c r="J221" i="5"/>
  <c r="I221" i="5"/>
  <c r="N221" i="5" s="1"/>
  <c r="K220" i="5"/>
  <c r="J220" i="5"/>
  <c r="I220" i="5"/>
  <c r="N220" i="5" s="1"/>
  <c r="M219" i="5"/>
  <c r="K218" i="5"/>
  <c r="J218" i="5"/>
  <c r="I218" i="5"/>
  <c r="N218" i="5" s="1"/>
  <c r="K217" i="5"/>
  <c r="J217" i="5"/>
  <c r="I217" i="5"/>
  <c r="N217" i="5" s="1"/>
  <c r="K216" i="5"/>
  <c r="J216" i="5"/>
  <c r="I216" i="5"/>
  <c r="N216" i="5" s="1"/>
  <c r="K215" i="5"/>
  <c r="J215" i="5"/>
  <c r="I215" i="5"/>
  <c r="N215" i="5" s="1"/>
  <c r="K214" i="5"/>
  <c r="J214" i="5"/>
  <c r="I214" i="5"/>
  <c r="N214" i="5" s="1"/>
  <c r="K213" i="5"/>
  <c r="J213" i="5"/>
  <c r="I213" i="5"/>
  <c r="N213" i="5" s="1"/>
  <c r="K212" i="5"/>
  <c r="J212" i="5"/>
  <c r="I212" i="5"/>
  <c r="N212" i="5" s="1"/>
  <c r="K211" i="5"/>
  <c r="J211" i="5"/>
  <c r="I211" i="5"/>
  <c r="N211" i="5" s="1"/>
  <c r="K210" i="5"/>
  <c r="J210" i="5"/>
  <c r="I210" i="5"/>
  <c r="N210" i="5" s="1"/>
  <c r="K209" i="5"/>
  <c r="J209" i="5"/>
  <c r="I209" i="5"/>
  <c r="N209" i="5" s="1"/>
  <c r="K208" i="5"/>
  <c r="J208" i="5"/>
  <c r="I208" i="5"/>
  <c r="N208" i="5" s="1"/>
  <c r="K207" i="5"/>
  <c r="J207" i="5"/>
  <c r="I207" i="5"/>
  <c r="N207" i="5" s="1"/>
  <c r="K206" i="5"/>
  <c r="J206" i="5"/>
  <c r="I206" i="5"/>
  <c r="N206" i="5" s="1"/>
  <c r="K205" i="5"/>
  <c r="J205" i="5"/>
  <c r="I205" i="5"/>
  <c r="N205" i="5" s="1"/>
  <c r="K204" i="5"/>
  <c r="J204" i="5"/>
  <c r="I204" i="5"/>
  <c r="N204" i="5" s="1"/>
  <c r="K203" i="5"/>
  <c r="J203" i="5"/>
  <c r="I203" i="5"/>
  <c r="N203" i="5" s="1"/>
  <c r="K202" i="5"/>
  <c r="J202" i="5"/>
  <c r="L202" i="5" s="1"/>
  <c r="M202" i="5" s="1"/>
  <c r="I202" i="5"/>
  <c r="N202" i="5" s="1"/>
  <c r="K201" i="5"/>
  <c r="J201" i="5"/>
  <c r="I201" i="5"/>
  <c r="N201" i="5" s="1"/>
  <c r="K200" i="5"/>
  <c r="J200" i="5"/>
  <c r="I200" i="5"/>
  <c r="N200" i="5" s="1"/>
  <c r="K199" i="5"/>
  <c r="J199" i="5"/>
  <c r="M198" i="5"/>
  <c r="K197" i="5"/>
  <c r="J197" i="5"/>
  <c r="L197" i="5" s="1"/>
  <c r="M197" i="5" s="1"/>
  <c r="I197" i="5"/>
  <c r="N197" i="5" s="1"/>
  <c r="K196" i="5"/>
  <c r="J196" i="5"/>
  <c r="I196" i="5"/>
  <c r="N196" i="5" s="1"/>
  <c r="K195" i="5"/>
  <c r="J195" i="5"/>
  <c r="I195" i="5"/>
  <c r="N195" i="5" s="1"/>
  <c r="K194" i="5"/>
  <c r="J194" i="5"/>
  <c r="I194" i="5"/>
  <c r="N194" i="5" s="1"/>
  <c r="K193" i="5"/>
  <c r="J193" i="5"/>
  <c r="I193" i="5"/>
  <c r="N193" i="5" s="1"/>
  <c r="K192" i="5"/>
  <c r="J192" i="5"/>
  <c r="I192" i="5"/>
  <c r="N192" i="5" s="1"/>
  <c r="K191" i="5"/>
  <c r="J191" i="5"/>
  <c r="I191" i="5"/>
  <c r="N191" i="5" s="1"/>
  <c r="K190" i="5"/>
  <c r="J190" i="5"/>
  <c r="I190" i="5"/>
  <c r="N190" i="5" s="1"/>
  <c r="K189" i="5"/>
  <c r="J189" i="5"/>
  <c r="I189" i="5"/>
  <c r="N189" i="5" s="1"/>
  <c r="K188" i="5"/>
  <c r="J188" i="5"/>
  <c r="I188" i="5"/>
  <c r="N188" i="5" s="1"/>
  <c r="K187" i="5"/>
  <c r="J187" i="5"/>
  <c r="I187" i="5"/>
  <c r="N187" i="5" s="1"/>
  <c r="K186" i="5"/>
  <c r="J186" i="5"/>
  <c r="I186" i="5"/>
  <c r="N186" i="5" s="1"/>
  <c r="K185" i="5"/>
  <c r="J185" i="5"/>
  <c r="I185" i="5"/>
  <c r="N185" i="5" s="1"/>
  <c r="K184" i="5"/>
  <c r="J184" i="5"/>
  <c r="I184" i="5"/>
  <c r="N184" i="5" s="1"/>
  <c r="K183" i="5"/>
  <c r="J183" i="5"/>
  <c r="I183" i="5"/>
  <c r="N183" i="5" s="1"/>
  <c r="K182" i="5"/>
  <c r="J182" i="5"/>
  <c r="I182" i="5"/>
  <c r="N182" i="5" s="1"/>
  <c r="K181" i="5"/>
  <c r="J181" i="5"/>
  <c r="I181" i="5"/>
  <c r="N181" i="5" s="1"/>
  <c r="K180" i="5"/>
  <c r="J180" i="5"/>
  <c r="L180" i="5" s="1"/>
  <c r="M180" i="5" s="1"/>
  <c r="I180" i="5"/>
  <c r="N180" i="5" s="1"/>
  <c r="M179" i="5"/>
  <c r="K178" i="5"/>
  <c r="J178" i="5"/>
  <c r="I178" i="5"/>
  <c r="N178" i="5" s="1"/>
  <c r="K177" i="5"/>
  <c r="J177" i="5"/>
  <c r="I177" i="5"/>
  <c r="N177" i="5" s="1"/>
  <c r="K176" i="5"/>
  <c r="J176" i="5"/>
  <c r="I176" i="5"/>
  <c r="N176" i="5" s="1"/>
  <c r="K175" i="5"/>
  <c r="J175" i="5"/>
  <c r="I175" i="5"/>
  <c r="N175" i="5" s="1"/>
  <c r="K174" i="5"/>
  <c r="J174" i="5"/>
  <c r="L174" i="5" s="1"/>
  <c r="M174" i="5" s="1"/>
  <c r="I174" i="5"/>
  <c r="N174" i="5" s="1"/>
  <c r="K173" i="5"/>
  <c r="J173" i="5"/>
  <c r="I173" i="5"/>
  <c r="N173" i="5" s="1"/>
  <c r="K172" i="5"/>
  <c r="J172" i="5"/>
  <c r="I172" i="5"/>
  <c r="N172" i="5" s="1"/>
  <c r="K171" i="5"/>
  <c r="J171" i="5"/>
  <c r="I171" i="5"/>
  <c r="N171" i="5" s="1"/>
  <c r="K170" i="5"/>
  <c r="J170" i="5"/>
  <c r="I170" i="5"/>
  <c r="N170" i="5" s="1"/>
  <c r="K169" i="5"/>
  <c r="J169" i="5"/>
  <c r="I169" i="5"/>
  <c r="N169" i="5" s="1"/>
  <c r="K168" i="5"/>
  <c r="J168" i="5"/>
  <c r="I168" i="5"/>
  <c r="N168" i="5" s="1"/>
  <c r="K167" i="5"/>
  <c r="J167" i="5"/>
  <c r="I167" i="5"/>
  <c r="N167" i="5" s="1"/>
  <c r="K166" i="5"/>
  <c r="J166" i="5"/>
  <c r="I166" i="5"/>
  <c r="N166" i="5" s="1"/>
  <c r="K165" i="5"/>
  <c r="J165" i="5"/>
  <c r="I165" i="5"/>
  <c r="N165" i="5" s="1"/>
  <c r="K164" i="5"/>
  <c r="J164" i="5"/>
  <c r="I164" i="5"/>
  <c r="N164" i="5" s="1"/>
  <c r="K163" i="5"/>
  <c r="J163" i="5"/>
  <c r="I163" i="5"/>
  <c r="N163" i="5" s="1"/>
  <c r="K162" i="5"/>
  <c r="J162" i="5"/>
  <c r="I162" i="5"/>
  <c r="N162" i="5" s="1"/>
  <c r="K161" i="5"/>
  <c r="J161" i="5"/>
  <c r="I161" i="5"/>
  <c r="N161" i="5" s="1"/>
  <c r="K160" i="5"/>
  <c r="J160" i="5"/>
  <c r="I160" i="5"/>
  <c r="N160" i="5" s="1"/>
  <c r="K159" i="5"/>
  <c r="J159" i="5"/>
  <c r="I159" i="5"/>
  <c r="N159" i="5" s="1"/>
  <c r="K158" i="5"/>
  <c r="J158" i="5"/>
  <c r="I158" i="5"/>
  <c r="N158" i="5" s="1"/>
  <c r="K157" i="5"/>
  <c r="J157" i="5"/>
  <c r="I157" i="5"/>
  <c r="N157" i="5" s="1"/>
  <c r="K156" i="5"/>
  <c r="J156" i="5"/>
  <c r="I156" i="5"/>
  <c r="N156" i="5" s="1"/>
  <c r="K155" i="5"/>
  <c r="J155" i="5"/>
  <c r="I155" i="5"/>
  <c r="N155" i="5" s="1"/>
  <c r="K154" i="5"/>
  <c r="J154" i="5"/>
  <c r="I154" i="5"/>
  <c r="N154" i="5" s="1"/>
  <c r="K153" i="5"/>
  <c r="J153" i="5"/>
  <c r="I153" i="5"/>
  <c r="N153" i="5" s="1"/>
  <c r="K152" i="5"/>
  <c r="J152" i="5"/>
  <c r="I152" i="5"/>
  <c r="N152" i="5" s="1"/>
  <c r="M151" i="5"/>
  <c r="K150" i="5"/>
  <c r="J150" i="5"/>
  <c r="I150" i="5"/>
  <c r="N150" i="5" s="1"/>
  <c r="K149" i="5"/>
  <c r="J149" i="5"/>
  <c r="I149" i="5"/>
  <c r="N149" i="5" s="1"/>
  <c r="K148" i="5"/>
  <c r="J148" i="5"/>
  <c r="I148" i="5"/>
  <c r="N148" i="5" s="1"/>
  <c r="K147" i="5"/>
  <c r="J147" i="5"/>
  <c r="I147" i="5"/>
  <c r="N147" i="5" s="1"/>
  <c r="K146" i="5"/>
  <c r="J146" i="5"/>
  <c r="I146" i="5"/>
  <c r="N146" i="5" s="1"/>
  <c r="K145" i="5"/>
  <c r="J145" i="5"/>
  <c r="I145" i="5"/>
  <c r="N145" i="5" s="1"/>
  <c r="K144" i="5"/>
  <c r="J144" i="5"/>
  <c r="I144" i="5"/>
  <c r="N144" i="5" s="1"/>
  <c r="M143" i="5"/>
  <c r="K142" i="5"/>
  <c r="J142" i="5"/>
  <c r="I142" i="5"/>
  <c r="N142" i="5" s="1"/>
  <c r="K141" i="5"/>
  <c r="J141" i="5"/>
  <c r="I141" i="5"/>
  <c r="N141" i="5" s="1"/>
  <c r="K140" i="5"/>
  <c r="J140" i="5"/>
  <c r="I140" i="5"/>
  <c r="N140" i="5" s="1"/>
  <c r="K139" i="5"/>
  <c r="J139" i="5"/>
  <c r="I139" i="5"/>
  <c r="N139" i="5" s="1"/>
  <c r="M138" i="5"/>
  <c r="K137" i="5"/>
  <c r="J137" i="5"/>
  <c r="I137" i="5"/>
  <c r="N137" i="5" s="1"/>
  <c r="K136" i="5"/>
  <c r="J136" i="5"/>
  <c r="I136" i="5"/>
  <c r="N136" i="5" s="1"/>
  <c r="K135" i="5"/>
  <c r="J135" i="5"/>
  <c r="I135" i="5"/>
  <c r="N135" i="5" s="1"/>
  <c r="K134" i="5"/>
  <c r="J134" i="5"/>
  <c r="I134" i="5"/>
  <c r="N134" i="5" s="1"/>
  <c r="K133" i="5"/>
  <c r="J133" i="5"/>
  <c r="I133" i="5"/>
  <c r="N133" i="5" s="1"/>
  <c r="K132" i="5"/>
  <c r="J132" i="5"/>
  <c r="I132" i="5"/>
  <c r="N132" i="5" s="1"/>
  <c r="K131" i="5"/>
  <c r="J131" i="5"/>
  <c r="I131" i="5"/>
  <c r="N131" i="5" s="1"/>
  <c r="I130" i="5"/>
  <c r="M129" i="5"/>
  <c r="K128" i="5"/>
  <c r="J128" i="5"/>
  <c r="I128" i="5"/>
  <c r="N128" i="5" s="1"/>
  <c r="K127" i="5"/>
  <c r="J127" i="5"/>
  <c r="I127" i="5"/>
  <c r="N127" i="5" s="1"/>
  <c r="K126" i="5"/>
  <c r="J126" i="5"/>
  <c r="I126" i="5"/>
  <c r="N126" i="5" s="1"/>
  <c r="K125" i="5"/>
  <c r="J125" i="5"/>
  <c r="I125" i="5"/>
  <c r="N125" i="5" s="1"/>
  <c r="K124" i="5"/>
  <c r="J124" i="5"/>
  <c r="I124" i="5"/>
  <c r="N124" i="5" s="1"/>
  <c r="K123" i="5"/>
  <c r="J123" i="5"/>
  <c r="I123" i="5"/>
  <c r="N123" i="5" s="1"/>
  <c r="K122" i="5"/>
  <c r="J122" i="5"/>
  <c r="I122" i="5"/>
  <c r="N122" i="5" s="1"/>
  <c r="K121" i="5"/>
  <c r="J121" i="5"/>
  <c r="I121" i="5"/>
  <c r="N121" i="5" s="1"/>
  <c r="I120" i="5"/>
  <c r="J119" i="5"/>
  <c r="J118" i="5" s="1"/>
  <c r="K117" i="5"/>
  <c r="J117" i="5"/>
  <c r="I117" i="5"/>
  <c r="N117" i="5" s="1"/>
  <c r="K116" i="5"/>
  <c r="J116" i="5"/>
  <c r="I116" i="5"/>
  <c r="N116" i="5" s="1"/>
  <c r="K115" i="5"/>
  <c r="J115" i="5"/>
  <c r="I115" i="5"/>
  <c r="N115" i="5" s="1"/>
  <c r="K114" i="5"/>
  <c r="J114" i="5"/>
  <c r="I114" i="5"/>
  <c r="N114" i="5" s="1"/>
  <c r="K113" i="5"/>
  <c r="J113" i="5"/>
  <c r="I113" i="5"/>
  <c r="N113" i="5" s="1"/>
  <c r="K112" i="5"/>
  <c r="J112" i="5"/>
  <c r="I112" i="5"/>
  <c r="N112" i="5" s="1"/>
  <c r="K111" i="5"/>
  <c r="J111" i="5"/>
  <c r="I111" i="5"/>
  <c r="N111" i="5" s="1"/>
  <c r="K110" i="5"/>
  <c r="J110" i="5"/>
  <c r="I110" i="5"/>
  <c r="N110" i="5" s="1"/>
  <c r="K108" i="5"/>
  <c r="J108" i="5"/>
  <c r="I108" i="5"/>
  <c r="N108" i="5" s="1"/>
  <c r="K107" i="5"/>
  <c r="J107" i="5"/>
  <c r="I107" i="5"/>
  <c r="N107" i="5" s="1"/>
  <c r="M106" i="5"/>
  <c r="K105" i="5"/>
  <c r="J105" i="5"/>
  <c r="I105" i="5"/>
  <c r="N105" i="5" s="1"/>
  <c r="K104" i="5"/>
  <c r="J104" i="5"/>
  <c r="I104" i="5"/>
  <c r="N104" i="5" s="1"/>
  <c r="K103" i="5"/>
  <c r="J103" i="5"/>
  <c r="I103" i="5"/>
  <c r="N103" i="5" s="1"/>
  <c r="K102" i="5"/>
  <c r="J102" i="5"/>
  <c r="I102" i="5"/>
  <c r="N102" i="5" s="1"/>
  <c r="K101" i="5"/>
  <c r="J101" i="5"/>
  <c r="I101" i="5"/>
  <c r="N101" i="5" s="1"/>
  <c r="K100" i="5"/>
  <c r="J100" i="5"/>
  <c r="I100" i="5"/>
  <c r="N100" i="5" s="1"/>
  <c r="K99" i="5"/>
  <c r="J99" i="5"/>
  <c r="I99" i="5"/>
  <c r="N99" i="5" s="1"/>
  <c r="K98" i="5"/>
  <c r="J98" i="5"/>
  <c r="I98" i="5"/>
  <c r="N98" i="5" s="1"/>
  <c r="K97" i="5"/>
  <c r="J97" i="5"/>
  <c r="I97" i="5"/>
  <c r="N97" i="5" s="1"/>
  <c r="K96" i="5"/>
  <c r="J96" i="5"/>
  <c r="I96" i="5"/>
  <c r="N96" i="5" s="1"/>
  <c r="K95" i="5"/>
  <c r="J95" i="5"/>
  <c r="I95" i="5"/>
  <c r="N95" i="5" s="1"/>
  <c r="K93" i="5"/>
  <c r="K92" i="5" s="1"/>
  <c r="J93" i="5"/>
  <c r="J92" i="5" s="1"/>
  <c r="I93" i="5"/>
  <c r="N93" i="5" s="1"/>
  <c r="K91" i="5"/>
  <c r="J91" i="5"/>
  <c r="I91" i="5"/>
  <c r="N91" i="5" s="1"/>
  <c r="K90" i="5"/>
  <c r="J90" i="5"/>
  <c r="I90" i="5"/>
  <c r="N90" i="5" s="1"/>
  <c r="K89" i="5"/>
  <c r="J89" i="5"/>
  <c r="I89" i="5"/>
  <c r="N89" i="5" s="1"/>
  <c r="M88" i="5"/>
  <c r="K87" i="5"/>
  <c r="J87" i="5"/>
  <c r="I87" i="5"/>
  <c r="N87" i="5" s="1"/>
  <c r="K86" i="5"/>
  <c r="J86" i="5"/>
  <c r="I86" i="5"/>
  <c r="N86" i="5" s="1"/>
  <c r="K85" i="5"/>
  <c r="J85" i="5"/>
  <c r="I85" i="5"/>
  <c r="N85" i="5" s="1"/>
  <c r="K84" i="5"/>
  <c r="J84" i="5"/>
  <c r="I84" i="5"/>
  <c r="N84" i="5" s="1"/>
  <c r="K83" i="5"/>
  <c r="J83" i="5"/>
  <c r="I83" i="5"/>
  <c r="N83" i="5" s="1"/>
  <c r="K82" i="5"/>
  <c r="J82" i="5"/>
  <c r="I82" i="5"/>
  <c r="N82" i="5" s="1"/>
  <c r="K81" i="5"/>
  <c r="J81" i="5"/>
  <c r="I81" i="5"/>
  <c r="N81" i="5" s="1"/>
  <c r="M80" i="5"/>
  <c r="K78" i="5"/>
  <c r="J78" i="5"/>
  <c r="I78" i="5"/>
  <c r="N78" i="5" s="1"/>
  <c r="K77" i="5"/>
  <c r="J77" i="5"/>
  <c r="I77" i="5"/>
  <c r="N77" i="5" s="1"/>
  <c r="J76" i="5"/>
  <c r="K74" i="5"/>
  <c r="K73" i="5" s="1"/>
  <c r="L73" i="5" s="1"/>
  <c r="M73" i="5" s="1"/>
  <c r="J74" i="5"/>
  <c r="I74" i="5"/>
  <c r="N74" i="5" s="1"/>
  <c r="K72" i="5"/>
  <c r="K71" i="5" s="1"/>
  <c r="J72" i="5"/>
  <c r="J71" i="5" s="1"/>
  <c r="I72" i="5"/>
  <c r="N72" i="5" s="1"/>
  <c r="K70" i="5"/>
  <c r="J70" i="5"/>
  <c r="I70" i="5"/>
  <c r="N70" i="5" s="1"/>
  <c r="K69" i="5"/>
  <c r="J69" i="5"/>
  <c r="I69" i="5"/>
  <c r="N69" i="5" s="1"/>
  <c r="K68" i="5"/>
  <c r="J68" i="5"/>
  <c r="I68" i="5"/>
  <c r="N68" i="5" s="1"/>
  <c r="K67" i="5"/>
  <c r="J67" i="5"/>
  <c r="I67" i="5"/>
  <c r="N67" i="5" s="1"/>
  <c r="K66" i="5"/>
  <c r="J66" i="5"/>
  <c r="J65" i="5" s="1"/>
  <c r="I66" i="5"/>
  <c r="N66" i="5" s="1"/>
  <c r="K64" i="5"/>
  <c r="J64" i="5"/>
  <c r="I64" i="5"/>
  <c r="N64" i="5" s="1"/>
  <c r="K63" i="5"/>
  <c r="J63" i="5"/>
  <c r="I63" i="5"/>
  <c r="N63" i="5" s="1"/>
  <c r="K62" i="5"/>
  <c r="J62" i="5"/>
  <c r="I62" i="5"/>
  <c r="N62" i="5" s="1"/>
  <c r="K61" i="5"/>
  <c r="J61" i="5"/>
  <c r="I61" i="5"/>
  <c r="N61" i="5" s="1"/>
  <c r="K60" i="5"/>
  <c r="J60" i="5"/>
  <c r="I60" i="5"/>
  <c r="N60" i="5" s="1"/>
  <c r="K59" i="5"/>
  <c r="J59" i="5"/>
  <c r="I59" i="5"/>
  <c r="N59" i="5" s="1"/>
  <c r="K56" i="5"/>
  <c r="J56" i="5"/>
  <c r="I56" i="5"/>
  <c r="N56" i="5" s="1"/>
  <c r="K55" i="5"/>
  <c r="J55" i="5"/>
  <c r="I55" i="5"/>
  <c r="N55" i="5" s="1"/>
  <c r="K54" i="5"/>
  <c r="J54" i="5"/>
  <c r="I54" i="5"/>
  <c r="N54" i="5" s="1"/>
  <c r="K53" i="5"/>
  <c r="J53" i="5"/>
  <c r="I53" i="5"/>
  <c r="N53" i="5" s="1"/>
  <c r="M52" i="5"/>
  <c r="J51" i="5"/>
  <c r="J50" i="5"/>
  <c r="K49" i="5"/>
  <c r="J49" i="5"/>
  <c r="I49" i="5"/>
  <c r="N49" i="5" s="1"/>
  <c r="J48" i="5"/>
  <c r="K47" i="5"/>
  <c r="J47" i="5"/>
  <c r="I47" i="5"/>
  <c r="N47" i="5" s="1"/>
  <c r="J46" i="5"/>
  <c r="J44" i="5"/>
  <c r="J43" i="5"/>
  <c r="K42" i="5"/>
  <c r="J42" i="5"/>
  <c r="N42" i="5"/>
  <c r="J41" i="5"/>
  <c r="K40" i="5"/>
  <c r="J40" i="5"/>
  <c r="I40" i="5"/>
  <c r="N40" i="5" s="1"/>
  <c r="K39" i="5"/>
  <c r="J39" i="5"/>
  <c r="I39" i="5"/>
  <c r="N39" i="5" s="1"/>
  <c r="J38" i="5"/>
  <c r="J37" i="5"/>
  <c r="L37" i="5" s="1"/>
  <c r="J34" i="5"/>
  <c r="L34" i="5" s="1"/>
  <c r="I34" i="5"/>
  <c r="N34" i="5" s="1"/>
  <c r="J33" i="5"/>
  <c r="L33" i="5" s="1"/>
  <c r="I33" i="5"/>
  <c r="N33" i="5" s="1"/>
  <c r="J32" i="5"/>
  <c r="L32" i="5" s="1"/>
  <c r="J31" i="5"/>
  <c r="K29" i="5"/>
  <c r="J29" i="5"/>
  <c r="I29" i="5"/>
  <c r="N29" i="5" s="1"/>
  <c r="J28" i="5"/>
  <c r="K27" i="5"/>
  <c r="J27" i="5"/>
  <c r="I27" i="5"/>
  <c r="N27" i="5" s="1"/>
  <c r="K26" i="5"/>
  <c r="J26" i="5"/>
  <c r="I26" i="5"/>
  <c r="N26" i="5" s="1"/>
  <c r="J25" i="5"/>
  <c r="J24" i="5"/>
  <c r="J23" i="5"/>
  <c r="J22" i="5"/>
  <c r="K21" i="5"/>
  <c r="J21" i="5"/>
  <c r="K20" i="5"/>
  <c r="L20" i="5" s="1"/>
  <c r="H107" i="2"/>
  <c r="L277" i="5" l="1"/>
  <c r="M277" i="5" s="1"/>
  <c r="L255" i="5"/>
  <c r="M255" i="5" s="1"/>
  <c r="L240" i="5"/>
  <c r="M240" i="5" s="1"/>
  <c r="L263" i="5"/>
  <c r="M263" i="5" s="1"/>
  <c r="L300" i="5"/>
  <c r="M300" i="5" s="1"/>
  <c r="L306" i="5"/>
  <c r="M306" i="5" s="1"/>
  <c r="L27" i="5"/>
  <c r="J19" i="5"/>
  <c r="L203" i="5"/>
  <c r="M203" i="5" s="1"/>
  <c r="L211" i="5"/>
  <c r="M211" i="5" s="1"/>
  <c r="L273" i="5"/>
  <c r="M273" i="5" s="1"/>
  <c r="M9" i="6"/>
  <c r="N9" i="6" s="1"/>
  <c r="L97" i="5"/>
  <c r="M97" i="5" s="1"/>
  <c r="L14" i="6"/>
  <c r="M14" i="6" s="1"/>
  <c r="N14" i="6" s="1"/>
  <c r="L116" i="5"/>
  <c r="M116" i="5" s="1"/>
  <c r="J120" i="5"/>
  <c r="L125" i="5"/>
  <c r="M125" i="5" s="1"/>
  <c r="K151" i="5"/>
  <c r="L155" i="5"/>
  <c r="M155" i="5" s="1"/>
  <c r="L181" i="5"/>
  <c r="M181" i="5" s="1"/>
  <c r="L96" i="5"/>
  <c r="M96" i="5" s="1"/>
  <c r="L114" i="5"/>
  <c r="M114" i="5" s="1"/>
  <c r="L123" i="5"/>
  <c r="M123" i="5" s="1"/>
  <c r="L131" i="5"/>
  <c r="M131" i="5" s="1"/>
  <c r="L153" i="5"/>
  <c r="M153" i="5" s="1"/>
  <c r="L62" i="5"/>
  <c r="M62" i="5" s="1"/>
  <c r="L78" i="5"/>
  <c r="M78" i="5" s="1"/>
  <c r="J80" i="5"/>
  <c r="L91" i="5"/>
  <c r="M91" i="5" s="1"/>
  <c r="K94" i="5"/>
  <c r="L100" i="5"/>
  <c r="M100" i="5" s="1"/>
  <c r="L101" i="5"/>
  <c r="M101" i="5" s="1"/>
  <c r="L136" i="5"/>
  <c r="M136" i="5" s="1"/>
  <c r="L148" i="5"/>
  <c r="M148" i="5" s="1"/>
  <c r="L149" i="5"/>
  <c r="M149" i="5" s="1"/>
  <c r="K237" i="5"/>
  <c r="L256" i="5"/>
  <c r="M256" i="5" s="1"/>
  <c r="K312" i="5"/>
  <c r="L64" i="5"/>
  <c r="M64" i="5" s="1"/>
  <c r="L98" i="5"/>
  <c r="M98" i="5" s="1"/>
  <c r="L102" i="5"/>
  <c r="M102" i="5" s="1"/>
  <c r="L156" i="5"/>
  <c r="M156" i="5" s="1"/>
  <c r="L164" i="5"/>
  <c r="M164" i="5" s="1"/>
  <c r="L172" i="5"/>
  <c r="M172" i="5" s="1"/>
  <c r="L177" i="5"/>
  <c r="M177" i="5" s="1"/>
  <c r="L200" i="5"/>
  <c r="M200" i="5" s="1"/>
  <c r="L226" i="5"/>
  <c r="M226" i="5" s="1"/>
  <c r="L253" i="5"/>
  <c r="M253" i="5" s="1"/>
  <c r="L257" i="5"/>
  <c r="M257" i="5" s="1"/>
  <c r="L265" i="5"/>
  <c r="M265" i="5" s="1"/>
  <c r="L295" i="5"/>
  <c r="M295" i="5" s="1"/>
  <c r="L302" i="5"/>
  <c r="M302" i="5" s="1"/>
  <c r="L26" i="5"/>
  <c r="M26" i="5" s="1"/>
  <c r="M20" i="5"/>
  <c r="M34" i="5"/>
  <c r="M33" i="5"/>
  <c r="M32" i="5"/>
  <c r="L40" i="5"/>
  <c r="M40" i="5" s="1"/>
  <c r="J88" i="5"/>
  <c r="L56" i="5"/>
  <c r="M56" i="5" s="1"/>
  <c r="L60" i="5"/>
  <c r="M60" i="5" s="1"/>
  <c r="L63" i="5"/>
  <c r="M63" i="5" s="1"/>
  <c r="L82" i="5"/>
  <c r="M82" i="5" s="1"/>
  <c r="L115" i="5"/>
  <c r="M115" i="5" s="1"/>
  <c r="L126" i="5"/>
  <c r="M126" i="5" s="1"/>
  <c r="L135" i="5"/>
  <c r="M135" i="5" s="1"/>
  <c r="L141" i="5"/>
  <c r="M141" i="5" s="1"/>
  <c r="L142" i="5"/>
  <c r="M142" i="5" s="1"/>
  <c r="L157" i="5"/>
  <c r="M157" i="5" s="1"/>
  <c r="L158" i="5"/>
  <c r="M158" i="5" s="1"/>
  <c r="L161" i="5"/>
  <c r="M161" i="5" s="1"/>
  <c r="L162" i="5"/>
  <c r="M162" i="5" s="1"/>
  <c r="L165" i="5"/>
  <c r="M165" i="5" s="1"/>
  <c r="L169" i="5"/>
  <c r="M169" i="5" s="1"/>
  <c r="L186" i="5"/>
  <c r="M186" i="5" s="1"/>
  <c r="L187" i="5"/>
  <c r="M187" i="5" s="1"/>
  <c r="L194" i="5"/>
  <c r="M194" i="5" s="1"/>
  <c r="L204" i="5"/>
  <c r="M204" i="5" s="1"/>
  <c r="L205" i="5"/>
  <c r="M205" i="5" s="1"/>
  <c r="L208" i="5"/>
  <c r="M208" i="5" s="1"/>
  <c r="L209" i="5"/>
  <c r="M209" i="5" s="1"/>
  <c r="L212" i="5"/>
  <c r="M212" i="5" s="1"/>
  <c r="L216" i="5"/>
  <c r="M216" i="5" s="1"/>
  <c r="L222" i="5"/>
  <c r="M222" i="5" s="1"/>
  <c r="L227" i="5"/>
  <c r="M227" i="5" s="1"/>
  <c r="L233" i="5"/>
  <c r="M233" i="5" s="1"/>
  <c r="L249" i="5"/>
  <c r="M249" i="5" s="1"/>
  <c r="L260" i="5"/>
  <c r="M260" i="5" s="1"/>
  <c r="L270" i="5"/>
  <c r="M270" i="5" s="1"/>
  <c r="L283" i="5"/>
  <c r="M283" i="5" s="1"/>
  <c r="L286" i="5"/>
  <c r="M286" i="5" s="1"/>
  <c r="L292" i="5"/>
  <c r="M292" i="5" s="1"/>
  <c r="L293" i="5"/>
  <c r="M293" i="5" s="1"/>
  <c r="J298" i="5"/>
  <c r="L309" i="5"/>
  <c r="M309" i="5" s="1"/>
  <c r="L54" i="5"/>
  <c r="M54" i="5" s="1"/>
  <c r="L55" i="5"/>
  <c r="M55" i="5" s="1"/>
  <c r="K75" i="5"/>
  <c r="L84" i="5"/>
  <c r="M84" i="5" s="1"/>
  <c r="L103" i="5"/>
  <c r="M103" i="5" s="1"/>
  <c r="L112" i="5"/>
  <c r="M112" i="5" s="1"/>
  <c r="L133" i="5"/>
  <c r="M133" i="5" s="1"/>
  <c r="L134" i="5"/>
  <c r="M134" i="5" s="1"/>
  <c r="L140" i="5"/>
  <c r="M140" i="5" s="1"/>
  <c r="L146" i="5"/>
  <c r="M146" i="5" s="1"/>
  <c r="L147" i="5"/>
  <c r="M147" i="5" s="1"/>
  <c r="L159" i="5"/>
  <c r="M159" i="5" s="1"/>
  <c r="L160" i="5"/>
  <c r="M160" i="5" s="1"/>
  <c r="L163" i="5"/>
  <c r="M163" i="5" s="1"/>
  <c r="L167" i="5"/>
  <c r="M167" i="5" s="1"/>
  <c r="L171" i="5"/>
  <c r="M171" i="5" s="1"/>
  <c r="L176" i="5"/>
  <c r="M176" i="5" s="1"/>
  <c r="L184" i="5"/>
  <c r="M184" i="5" s="1"/>
  <c r="L188" i="5"/>
  <c r="M188" i="5" s="1"/>
  <c r="L189" i="5"/>
  <c r="M189" i="5" s="1"/>
  <c r="L192" i="5"/>
  <c r="M192" i="5" s="1"/>
  <c r="L196" i="5"/>
  <c r="M196" i="5" s="1"/>
  <c r="L206" i="5"/>
  <c r="M206" i="5" s="1"/>
  <c r="L207" i="5"/>
  <c r="M207" i="5" s="1"/>
  <c r="L210" i="5"/>
  <c r="M210" i="5" s="1"/>
  <c r="L214" i="5"/>
  <c r="M214" i="5" s="1"/>
  <c r="L218" i="5"/>
  <c r="M218" i="5" s="1"/>
  <c r="L229" i="5"/>
  <c r="M229" i="5" s="1"/>
  <c r="L243" i="5"/>
  <c r="M243" i="5" s="1"/>
  <c r="L247" i="5"/>
  <c r="M247" i="5" s="1"/>
  <c r="L251" i="5"/>
  <c r="M251" i="5" s="1"/>
  <c r="L262" i="5"/>
  <c r="M262" i="5" s="1"/>
  <c r="L268" i="5"/>
  <c r="M268" i="5" s="1"/>
  <c r="L278" i="5"/>
  <c r="M278" i="5" s="1"/>
  <c r="L284" i="5"/>
  <c r="M284" i="5" s="1"/>
  <c r="L290" i="5"/>
  <c r="M290" i="5" s="1"/>
  <c r="L291" i="5"/>
  <c r="M291" i="5" s="1"/>
  <c r="L307" i="5"/>
  <c r="M307" i="5" s="1"/>
  <c r="K138" i="5"/>
  <c r="K52" i="5"/>
  <c r="L81" i="5"/>
  <c r="L107" i="5"/>
  <c r="M107" i="5" s="1"/>
  <c r="J106" i="5"/>
  <c r="K109" i="5"/>
  <c r="L39" i="5"/>
  <c r="M39" i="5" s="1"/>
  <c r="K58" i="5"/>
  <c r="L68" i="5"/>
  <c r="M68" i="5" s="1"/>
  <c r="L77" i="5"/>
  <c r="M77" i="5" s="1"/>
  <c r="L83" i="5"/>
  <c r="M83" i="5" s="1"/>
  <c r="L87" i="5"/>
  <c r="M87" i="5" s="1"/>
  <c r="L90" i="5"/>
  <c r="M90" i="5" s="1"/>
  <c r="L93" i="5"/>
  <c r="L95" i="5"/>
  <c r="M95" i="5" s="1"/>
  <c r="J94" i="5"/>
  <c r="L104" i="5"/>
  <c r="M104" i="5" s="1"/>
  <c r="K106" i="5"/>
  <c r="L113" i="5"/>
  <c r="M113" i="5" s="1"/>
  <c r="L122" i="5"/>
  <c r="M122" i="5" s="1"/>
  <c r="L128" i="5"/>
  <c r="M128" i="5" s="1"/>
  <c r="K130" i="5"/>
  <c r="L132" i="5"/>
  <c r="M132" i="5" s="1"/>
  <c r="L137" i="5"/>
  <c r="M137" i="5" s="1"/>
  <c r="J138" i="5"/>
  <c r="K143" i="5"/>
  <c r="L150" i="5"/>
  <c r="M150" i="5" s="1"/>
  <c r="J151" i="5"/>
  <c r="L154" i="5"/>
  <c r="M154" i="5" s="1"/>
  <c r="L166" i="5"/>
  <c r="M166" i="5" s="1"/>
  <c r="L173" i="5"/>
  <c r="M173" i="5" s="1"/>
  <c r="L175" i="5"/>
  <c r="M175" i="5" s="1"/>
  <c r="K179" i="5"/>
  <c r="L185" i="5"/>
  <c r="M185" i="5" s="1"/>
  <c r="L190" i="5"/>
  <c r="M190" i="5" s="1"/>
  <c r="L193" i="5"/>
  <c r="M193" i="5" s="1"/>
  <c r="L201" i="5"/>
  <c r="M201" i="5" s="1"/>
  <c r="L213" i="5"/>
  <c r="M213" i="5" s="1"/>
  <c r="L221" i="5"/>
  <c r="M221" i="5" s="1"/>
  <c r="L225" i="5"/>
  <c r="M225" i="5" s="1"/>
  <c r="L228" i="5"/>
  <c r="M228" i="5" s="1"/>
  <c r="L235" i="5"/>
  <c r="M235" i="5" s="1"/>
  <c r="J237" i="5"/>
  <c r="L241" i="5"/>
  <c r="M241" i="5" s="1"/>
  <c r="L244" i="5"/>
  <c r="M244" i="5" s="1"/>
  <c r="L245" i="5"/>
  <c r="M245" i="5" s="1"/>
  <c r="L250" i="5"/>
  <c r="M250" i="5" s="1"/>
  <c r="K252" i="5"/>
  <c r="L258" i="5"/>
  <c r="M258" i="5" s="1"/>
  <c r="L264" i="5"/>
  <c r="M264" i="5" s="1"/>
  <c r="K266" i="5"/>
  <c r="L272" i="5"/>
  <c r="M272" i="5" s="1"/>
  <c r="L281" i="5"/>
  <c r="M281" i="5" s="1"/>
  <c r="L296" i="5"/>
  <c r="M296" i="5" s="1"/>
  <c r="L301" i="5"/>
  <c r="M301" i="5" s="1"/>
  <c r="L308" i="5"/>
  <c r="M308" i="5" s="1"/>
  <c r="L310" i="5"/>
  <c r="M310" i="5" s="1"/>
  <c r="L199" i="5"/>
  <c r="M199" i="5" s="1"/>
  <c r="J198" i="5"/>
  <c r="L220" i="5"/>
  <c r="M220" i="5" s="1"/>
  <c r="J219" i="5"/>
  <c r="M236" i="5"/>
  <c r="L53" i="5"/>
  <c r="M53" i="5" s="1"/>
  <c r="L67" i="5"/>
  <c r="M67" i="5" s="1"/>
  <c r="L76" i="5"/>
  <c r="J75" i="5"/>
  <c r="K80" i="5"/>
  <c r="L85" i="5"/>
  <c r="M85" i="5" s="1"/>
  <c r="L86" i="5"/>
  <c r="M86" i="5" s="1"/>
  <c r="L89" i="5"/>
  <c r="M89" i="5" s="1"/>
  <c r="K88" i="5"/>
  <c r="L99" i="5"/>
  <c r="M99" i="5" s="1"/>
  <c r="L105" i="5"/>
  <c r="M105" i="5" s="1"/>
  <c r="L108" i="5"/>
  <c r="M108" i="5" s="1"/>
  <c r="L110" i="5"/>
  <c r="M110" i="5" s="1"/>
  <c r="J109" i="5"/>
  <c r="L111" i="5"/>
  <c r="M111" i="5" s="1"/>
  <c r="L117" i="5"/>
  <c r="M117" i="5" s="1"/>
  <c r="K120" i="5"/>
  <c r="L124" i="5"/>
  <c r="M124" i="5" s="1"/>
  <c r="L127" i="5"/>
  <c r="M127" i="5" s="1"/>
  <c r="L139" i="5"/>
  <c r="M139" i="5" s="1"/>
  <c r="L145" i="5"/>
  <c r="M145" i="5" s="1"/>
  <c r="L152" i="5"/>
  <c r="M152" i="5" s="1"/>
  <c r="L168" i="5"/>
  <c r="M168" i="5" s="1"/>
  <c r="L170" i="5"/>
  <c r="M170" i="5" s="1"/>
  <c r="L178" i="5"/>
  <c r="M178" i="5" s="1"/>
  <c r="L182" i="5"/>
  <c r="M182" i="5" s="1"/>
  <c r="L191" i="5"/>
  <c r="M191" i="5" s="1"/>
  <c r="L195" i="5"/>
  <c r="M195" i="5" s="1"/>
  <c r="K198" i="5"/>
  <c r="L215" i="5"/>
  <c r="M215" i="5" s="1"/>
  <c r="L217" i="5"/>
  <c r="M217" i="5" s="1"/>
  <c r="K219" i="5"/>
  <c r="L223" i="5"/>
  <c r="M223" i="5" s="1"/>
  <c r="L224" i="5"/>
  <c r="M224" i="5" s="1"/>
  <c r="J231" i="5"/>
  <c r="L238" i="5"/>
  <c r="M238" i="5" s="1"/>
  <c r="L242" i="5"/>
  <c r="M242" i="5" s="1"/>
  <c r="L246" i="5"/>
  <c r="M246" i="5" s="1"/>
  <c r="L248" i="5"/>
  <c r="M248" i="5" s="1"/>
  <c r="L261" i="5"/>
  <c r="M261" i="5" s="1"/>
  <c r="L271" i="5"/>
  <c r="M271" i="5" s="1"/>
  <c r="L274" i="5"/>
  <c r="M274" i="5" s="1"/>
  <c r="J275" i="5"/>
  <c r="L279" i="5"/>
  <c r="M279" i="5" s="1"/>
  <c r="L280" i="5"/>
  <c r="M280" i="5" s="1"/>
  <c r="L285" i="5"/>
  <c r="M285" i="5" s="1"/>
  <c r="L288" i="5"/>
  <c r="M288" i="5" s="1"/>
  <c r="J287" i="5"/>
  <c r="L289" i="5"/>
  <c r="M289" i="5" s="1"/>
  <c r="L294" i="5"/>
  <c r="M294" i="5" s="1"/>
  <c r="K298" i="5"/>
  <c r="L303" i="5"/>
  <c r="M303" i="5" s="1"/>
  <c r="L305" i="5"/>
  <c r="M305" i="5" s="1"/>
  <c r="J304" i="5"/>
  <c r="L311" i="5"/>
  <c r="M311" i="5" s="1"/>
  <c r="J52" i="5"/>
  <c r="J130" i="5"/>
  <c r="L144" i="5"/>
  <c r="M144" i="5" s="1"/>
  <c r="J143" i="5"/>
  <c r="J179" i="5"/>
  <c r="L232" i="5"/>
  <c r="M232" i="5" s="1"/>
  <c r="K231" i="5"/>
  <c r="J252" i="5"/>
  <c r="L267" i="5"/>
  <c r="M267" i="5" s="1"/>
  <c r="J266" i="5"/>
  <c r="K275" i="5"/>
  <c r="K287" i="5"/>
  <c r="L299" i="5"/>
  <c r="M299" i="5" s="1"/>
  <c r="K304" i="5"/>
  <c r="L313" i="5"/>
  <c r="M313" i="5" s="1"/>
  <c r="J312" i="5"/>
  <c r="L314" i="5"/>
  <c r="M314" i="5" s="1"/>
  <c r="L121" i="5"/>
  <c r="M121" i="5" s="1"/>
  <c r="L74" i="5"/>
  <c r="M74" i="5" s="1"/>
  <c r="K65" i="5"/>
  <c r="L65" i="5" s="1"/>
  <c r="L69" i="5"/>
  <c r="M69" i="5" s="1"/>
  <c r="L70" i="5"/>
  <c r="M70" i="5" s="1"/>
  <c r="L49" i="5"/>
  <c r="M49" i="5" s="1"/>
  <c r="L47" i="5"/>
  <c r="M47" i="5" s="1"/>
  <c r="L42" i="5"/>
  <c r="M12" i="6"/>
  <c r="N12" i="6" s="1"/>
  <c r="L51" i="6"/>
  <c r="M51" i="6" s="1"/>
  <c r="N51" i="6" s="1"/>
  <c r="L10" i="6"/>
  <c r="M10" i="6" s="1"/>
  <c r="N10" i="6" s="1"/>
  <c r="L7" i="6"/>
  <c r="M7" i="6" s="1"/>
  <c r="M16" i="6"/>
  <c r="N16" i="6" s="1"/>
  <c r="M92" i="6"/>
  <c r="N92" i="6" s="1"/>
  <c r="M13" i="6"/>
  <c r="N13" i="6" s="1"/>
  <c r="M59" i="6"/>
  <c r="N59" i="6" s="1"/>
  <c r="N58" i="6" s="1"/>
  <c r="L11" i="6"/>
  <c r="M11" i="6" s="1"/>
  <c r="N11" i="6" s="1"/>
  <c r="L48" i="6"/>
  <c r="M48" i="6" s="1"/>
  <c r="N48" i="6" s="1"/>
  <c r="M300" i="6"/>
  <c r="N300" i="6" s="1"/>
  <c r="L301" i="6"/>
  <c r="M301" i="6" s="1"/>
  <c r="N301" i="6" s="1"/>
  <c r="L296" i="6"/>
  <c r="M296" i="6" s="1"/>
  <c r="N296" i="6" s="1"/>
  <c r="M293" i="6"/>
  <c r="N293" i="6" s="1"/>
  <c r="L294" i="6"/>
  <c r="M294" i="6" s="1"/>
  <c r="N294" i="6" s="1"/>
  <c r="L297" i="6"/>
  <c r="M297" i="6" s="1"/>
  <c r="N297" i="6" s="1"/>
  <c r="L292" i="6"/>
  <c r="M292" i="6" s="1"/>
  <c r="N292" i="6" s="1"/>
  <c r="L298" i="6"/>
  <c r="M298" i="6" s="1"/>
  <c r="N298" i="6" s="1"/>
  <c r="M295" i="6"/>
  <c r="N295" i="6" s="1"/>
  <c r="L286" i="6"/>
  <c r="M286" i="6" s="1"/>
  <c r="N286" i="6" s="1"/>
  <c r="L289" i="6"/>
  <c r="M289" i="6" s="1"/>
  <c r="N289" i="6" s="1"/>
  <c r="L287" i="6"/>
  <c r="M287" i="6" s="1"/>
  <c r="N287" i="6" s="1"/>
  <c r="L290" i="6"/>
  <c r="M290" i="6" s="1"/>
  <c r="N290" i="6" s="1"/>
  <c r="L288" i="6"/>
  <c r="M288" i="6" s="1"/>
  <c r="N288" i="6" s="1"/>
  <c r="L275" i="6"/>
  <c r="M275" i="6" s="1"/>
  <c r="N275" i="6" s="1"/>
  <c r="L278" i="6"/>
  <c r="M278" i="6" s="1"/>
  <c r="N278" i="6" s="1"/>
  <c r="L281" i="6"/>
  <c r="M281" i="6" s="1"/>
  <c r="N281" i="6" s="1"/>
  <c r="L276" i="6"/>
  <c r="M276" i="6" s="1"/>
  <c r="N276" i="6" s="1"/>
  <c r="L279" i="6"/>
  <c r="M279" i="6" s="1"/>
  <c r="N279" i="6" s="1"/>
  <c r="L282" i="6"/>
  <c r="M282" i="6" s="1"/>
  <c r="N282" i="6" s="1"/>
  <c r="L277" i="6"/>
  <c r="M277" i="6" s="1"/>
  <c r="N277" i="6" s="1"/>
  <c r="L283" i="6"/>
  <c r="M283" i="6" s="1"/>
  <c r="N283" i="6" s="1"/>
  <c r="M280" i="6"/>
  <c r="N280" i="6" s="1"/>
  <c r="L264" i="6"/>
  <c r="M264" i="6" s="1"/>
  <c r="N264" i="6" s="1"/>
  <c r="L267" i="6"/>
  <c r="M267" i="6" s="1"/>
  <c r="N267" i="6" s="1"/>
  <c r="L270" i="6"/>
  <c r="M270" i="6" s="1"/>
  <c r="N270" i="6" s="1"/>
  <c r="L273" i="6"/>
  <c r="M273" i="6" s="1"/>
  <c r="N273" i="6" s="1"/>
  <c r="L265" i="6"/>
  <c r="M265" i="6" s="1"/>
  <c r="N265" i="6" s="1"/>
  <c r="L268" i="6"/>
  <c r="M268" i="6" s="1"/>
  <c r="N268" i="6" s="1"/>
  <c r="L271" i="6"/>
  <c r="M271" i="6" s="1"/>
  <c r="N271" i="6" s="1"/>
  <c r="L263" i="6"/>
  <c r="M263" i="6" s="1"/>
  <c r="N263" i="6" s="1"/>
  <c r="L266" i="6"/>
  <c r="M266" i="6" s="1"/>
  <c r="N266" i="6" s="1"/>
  <c r="L269" i="6"/>
  <c r="M269" i="6" s="1"/>
  <c r="N269" i="6" s="1"/>
  <c r="L272" i="6"/>
  <c r="M272" i="6" s="1"/>
  <c r="N272" i="6" s="1"/>
  <c r="L256" i="6"/>
  <c r="M256" i="6" s="1"/>
  <c r="N256" i="6" s="1"/>
  <c r="M259" i="6"/>
  <c r="N259" i="6" s="1"/>
  <c r="L254" i="6"/>
  <c r="M254" i="6" s="1"/>
  <c r="N254" i="6" s="1"/>
  <c r="L257" i="6"/>
  <c r="M257" i="6" s="1"/>
  <c r="N257" i="6" s="1"/>
  <c r="L260" i="6"/>
  <c r="M260" i="6" s="1"/>
  <c r="N260" i="6" s="1"/>
  <c r="L255" i="6"/>
  <c r="M255" i="6" s="1"/>
  <c r="N255" i="6" s="1"/>
  <c r="L261" i="6"/>
  <c r="M261" i="6" s="1"/>
  <c r="N261" i="6" s="1"/>
  <c r="M258" i="6"/>
  <c r="N258" i="6" s="1"/>
  <c r="L241" i="6"/>
  <c r="M241" i="6" s="1"/>
  <c r="N241" i="6" s="1"/>
  <c r="L244" i="6"/>
  <c r="M244" i="6" s="1"/>
  <c r="N244" i="6" s="1"/>
  <c r="L247" i="6"/>
  <c r="M247" i="6" s="1"/>
  <c r="N247" i="6" s="1"/>
  <c r="L250" i="6"/>
  <c r="M250" i="6" s="1"/>
  <c r="N250" i="6" s="1"/>
  <c r="L242" i="6"/>
  <c r="M242" i="6" s="1"/>
  <c r="N242" i="6" s="1"/>
  <c r="L245" i="6"/>
  <c r="M245" i="6" s="1"/>
  <c r="N245" i="6" s="1"/>
  <c r="L248" i="6"/>
  <c r="M248" i="6" s="1"/>
  <c r="N248" i="6" s="1"/>
  <c r="L251" i="6"/>
  <c r="M251" i="6" s="1"/>
  <c r="N251" i="6" s="1"/>
  <c r="L240" i="6"/>
  <c r="M240" i="6" s="1"/>
  <c r="N240" i="6" s="1"/>
  <c r="L243" i="6"/>
  <c r="M243" i="6" s="1"/>
  <c r="N243" i="6" s="1"/>
  <c r="L246" i="6"/>
  <c r="M246" i="6" s="1"/>
  <c r="N246" i="6" s="1"/>
  <c r="L249" i="6"/>
  <c r="M249" i="6" s="1"/>
  <c r="N249" i="6" s="1"/>
  <c r="L252" i="6"/>
  <c r="M252" i="6" s="1"/>
  <c r="N252" i="6" s="1"/>
  <c r="L227" i="6"/>
  <c r="M227" i="6" s="1"/>
  <c r="N227" i="6" s="1"/>
  <c r="L236" i="6"/>
  <c r="M236" i="6" s="1"/>
  <c r="N236" i="6" s="1"/>
  <c r="M230" i="6"/>
  <c r="N230" i="6" s="1"/>
  <c r="M233" i="6"/>
  <c r="N233" i="6" s="1"/>
  <c r="L225" i="6"/>
  <c r="M225" i="6" s="1"/>
  <c r="N225" i="6" s="1"/>
  <c r="L228" i="6"/>
  <c r="M228" i="6" s="1"/>
  <c r="N228" i="6" s="1"/>
  <c r="L237" i="6"/>
  <c r="M237" i="6" s="1"/>
  <c r="N237" i="6" s="1"/>
  <c r="M231" i="6"/>
  <c r="N231" i="6" s="1"/>
  <c r="M234" i="6"/>
  <c r="N234" i="6" s="1"/>
  <c r="L226" i="6"/>
  <c r="M226" i="6" s="1"/>
  <c r="N226" i="6" s="1"/>
  <c r="L229" i="6"/>
  <c r="M229" i="6" s="1"/>
  <c r="N229" i="6" s="1"/>
  <c r="L232" i="6"/>
  <c r="M232" i="6" s="1"/>
  <c r="N232" i="6" s="1"/>
  <c r="L235" i="6"/>
  <c r="M235" i="6" s="1"/>
  <c r="N235" i="6" s="1"/>
  <c r="L238" i="6"/>
  <c r="M238" i="6" s="1"/>
  <c r="N238" i="6" s="1"/>
  <c r="L220" i="6"/>
  <c r="M220" i="6" s="1"/>
  <c r="N220" i="6" s="1"/>
  <c r="L221" i="6"/>
  <c r="M221" i="6" s="1"/>
  <c r="N221" i="6" s="1"/>
  <c r="L219" i="6"/>
  <c r="M219" i="6" s="1"/>
  <c r="N219" i="6" s="1"/>
  <c r="L222" i="6"/>
  <c r="M222" i="6" s="1"/>
  <c r="N222" i="6" s="1"/>
  <c r="L208" i="6"/>
  <c r="M208" i="6" s="1"/>
  <c r="N208" i="6" s="1"/>
  <c r="L211" i="6"/>
  <c r="M211" i="6" s="1"/>
  <c r="N211" i="6" s="1"/>
  <c r="L214" i="6"/>
  <c r="M214" i="6" s="1"/>
  <c r="N214" i="6" s="1"/>
  <c r="L217" i="6"/>
  <c r="M217" i="6" s="1"/>
  <c r="N217" i="6" s="1"/>
  <c r="L209" i="6"/>
  <c r="M209" i="6" s="1"/>
  <c r="N209" i="6" s="1"/>
  <c r="L212" i="6"/>
  <c r="M212" i="6" s="1"/>
  <c r="N212" i="6" s="1"/>
  <c r="L215" i="6"/>
  <c r="M215" i="6" s="1"/>
  <c r="N215" i="6" s="1"/>
  <c r="L207" i="6"/>
  <c r="M207" i="6" s="1"/>
  <c r="N207" i="6" s="1"/>
  <c r="L210" i="6"/>
  <c r="M210" i="6" s="1"/>
  <c r="N210" i="6" s="1"/>
  <c r="L213" i="6"/>
  <c r="M213" i="6" s="1"/>
  <c r="N213" i="6" s="1"/>
  <c r="L216" i="6"/>
  <c r="M216" i="6" s="1"/>
  <c r="N216" i="6" s="1"/>
  <c r="L188" i="6"/>
  <c r="M188" i="6" s="1"/>
  <c r="N188" i="6" s="1"/>
  <c r="L191" i="6"/>
  <c r="M191" i="6" s="1"/>
  <c r="N191" i="6" s="1"/>
  <c r="L194" i="6"/>
  <c r="M194" i="6" s="1"/>
  <c r="N194" i="6" s="1"/>
  <c r="L197" i="6"/>
  <c r="M197" i="6" s="1"/>
  <c r="N197" i="6" s="1"/>
  <c r="L203" i="6"/>
  <c r="M203" i="6" s="1"/>
  <c r="N203" i="6" s="1"/>
  <c r="M200" i="6"/>
  <c r="N200" i="6" s="1"/>
  <c r="L189" i="6"/>
  <c r="M189" i="6" s="1"/>
  <c r="N189" i="6" s="1"/>
  <c r="L192" i="6"/>
  <c r="M192" i="6" s="1"/>
  <c r="N192" i="6" s="1"/>
  <c r="L195" i="6"/>
  <c r="M195" i="6" s="1"/>
  <c r="N195" i="6" s="1"/>
  <c r="L198" i="6"/>
  <c r="M198" i="6" s="1"/>
  <c r="N198" i="6" s="1"/>
  <c r="L201" i="6"/>
  <c r="M201" i="6" s="1"/>
  <c r="N201" i="6" s="1"/>
  <c r="L204" i="6"/>
  <c r="M204" i="6" s="1"/>
  <c r="N204" i="6" s="1"/>
  <c r="M186" i="6"/>
  <c r="N186" i="6" s="1"/>
  <c r="L187" i="6"/>
  <c r="M187" i="6" s="1"/>
  <c r="N187" i="6" s="1"/>
  <c r="L190" i="6"/>
  <c r="M190" i="6" s="1"/>
  <c r="N190" i="6" s="1"/>
  <c r="L193" i="6"/>
  <c r="M193" i="6" s="1"/>
  <c r="N193" i="6" s="1"/>
  <c r="L196" i="6"/>
  <c r="M196" i="6" s="1"/>
  <c r="N196" i="6" s="1"/>
  <c r="L199" i="6"/>
  <c r="M199" i="6" s="1"/>
  <c r="N199" i="6" s="1"/>
  <c r="L202" i="6"/>
  <c r="M202" i="6" s="1"/>
  <c r="N202" i="6" s="1"/>
  <c r="L205" i="6"/>
  <c r="M205" i="6" s="1"/>
  <c r="N205" i="6" s="1"/>
  <c r="L167" i="6"/>
  <c r="M167" i="6" s="1"/>
  <c r="N167" i="6" s="1"/>
  <c r="L170" i="6"/>
  <c r="M170" i="6" s="1"/>
  <c r="N170" i="6" s="1"/>
  <c r="L173" i="6"/>
  <c r="M173" i="6" s="1"/>
  <c r="N173" i="6" s="1"/>
  <c r="L176" i="6"/>
  <c r="M176" i="6" s="1"/>
  <c r="N176" i="6" s="1"/>
  <c r="L179" i="6"/>
  <c r="M179" i="6" s="1"/>
  <c r="N179" i="6" s="1"/>
  <c r="L182" i="6"/>
  <c r="M182" i="6" s="1"/>
  <c r="N182" i="6" s="1"/>
  <c r="L168" i="6"/>
  <c r="M168" i="6" s="1"/>
  <c r="N168" i="6" s="1"/>
  <c r="L171" i="6"/>
  <c r="M171" i="6" s="1"/>
  <c r="N171" i="6" s="1"/>
  <c r="L174" i="6"/>
  <c r="M174" i="6" s="1"/>
  <c r="N174" i="6" s="1"/>
  <c r="L177" i="6"/>
  <c r="M177" i="6" s="1"/>
  <c r="N177" i="6" s="1"/>
  <c r="L180" i="6"/>
  <c r="M180" i="6" s="1"/>
  <c r="N180" i="6" s="1"/>
  <c r="L183" i="6"/>
  <c r="M183" i="6" s="1"/>
  <c r="N183" i="6" s="1"/>
  <c r="L169" i="6"/>
  <c r="M169" i="6" s="1"/>
  <c r="N169" i="6" s="1"/>
  <c r="L172" i="6"/>
  <c r="M172" i="6" s="1"/>
  <c r="N172" i="6" s="1"/>
  <c r="L175" i="6"/>
  <c r="M175" i="6" s="1"/>
  <c r="N175" i="6" s="1"/>
  <c r="L178" i="6"/>
  <c r="M178" i="6" s="1"/>
  <c r="N178" i="6" s="1"/>
  <c r="L181" i="6"/>
  <c r="M181" i="6" s="1"/>
  <c r="N181" i="6" s="1"/>
  <c r="L184" i="6"/>
  <c r="M184" i="6" s="1"/>
  <c r="N184" i="6" s="1"/>
  <c r="L139" i="6"/>
  <c r="M139" i="6" s="1"/>
  <c r="N139" i="6" s="1"/>
  <c r="L142" i="6"/>
  <c r="M142" i="6" s="1"/>
  <c r="N142" i="6" s="1"/>
  <c r="L145" i="6"/>
  <c r="M145" i="6" s="1"/>
  <c r="N145" i="6" s="1"/>
  <c r="L148" i="6"/>
  <c r="M148" i="6" s="1"/>
  <c r="N148" i="6" s="1"/>
  <c r="L151" i="6"/>
  <c r="M151" i="6" s="1"/>
  <c r="N151" i="6" s="1"/>
  <c r="L154" i="6"/>
  <c r="M154" i="6" s="1"/>
  <c r="N154" i="6" s="1"/>
  <c r="L163" i="6"/>
  <c r="M163" i="6" s="1"/>
  <c r="N163" i="6" s="1"/>
  <c r="M157" i="6"/>
  <c r="N157" i="6" s="1"/>
  <c r="M160" i="6"/>
  <c r="N160" i="6" s="1"/>
  <c r="L140" i="6"/>
  <c r="M140" i="6" s="1"/>
  <c r="N140" i="6" s="1"/>
  <c r="L143" i="6"/>
  <c r="M143" i="6" s="1"/>
  <c r="N143" i="6" s="1"/>
  <c r="L146" i="6"/>
  <c r="M146" i="6" s="1"/>
  <c r="N146" i="6" s="1"/>
  <c r="L149" i="6"/>
  <c r="M149" i="6" s="1"/>
  <c r="N149" i="6" s="1"/>
  <c r="L152" i="6"/>
  <c r="M152" i="6" s="1"/>
  <c r="N152" i="6" s="1"/>
  <c r="L155" i="6"/>
  <c r="M155" i="6" s="1"/>
  <c r="N155" i="6" s="1"/>
  <c r="L158" i="6"/>
  <c r="M158" i="6" s="1"/>
  <c r="N158" i="6" s="1"/>
  <c r="L161" i="6"/>
  <c r="M161" i="6" s="1"/>
  <c r="N161" i="6" s="1"/>
  <c r="L164" i="6"/>
  <c r="M164" i="6" s="1"/>
  <c r="N164" i="6" s="1"/>
  <c r="L141" i="6"/>
  <c r="M141" i="6" s="1"/>
  <c r="N141" i="6" s="1"/>
  <c r="L147" i="6"/>
  <c r="M147" i="6" s="1"/>
  <c r="N147" i="6" s="1"/>
  <c r="L153" i="6"/>
  <c r="M153" i="6" s="1"/>
  <c r="N153" i="6" s="1"/>
  <c r="L159" i="6"/>
  <c r="M159" i="6" s="1"/>
  <c r="N159" i="6" s="1"/>
  <c r="L162" i="6"/>
  <c r="M162" i="6" s="1"/>
  <c r="N162" i="6" s="1"/>
  <c r="M144" i="6"/>
  <c r="N144" i="6" s="1"/>
  <c r="M150" i="6"/>
  <c r="N150" i="6" s="1"/>
  <c r="M156" i="6"/>
  <c r="N156" i="6" s="1"/>
  <c r="M165" i="6"/>
  <c r="N165" i="6" s="1"/>
  <c r="L131" i="6"/>
  <c r="M131" i="6" s="1"/>
  <c r="N131" i="6" s="1"/>
  <c r="L134" i="6"/>
  <c r="M134" i="6" s="1"/>
  <c r="N134" i="6" s="1"/>
  <c r="L137" i="6"/>
  <c r="M137" i="6" s="1"/>
  <c r="N137" i="6" s="1"/>
  <c r="L132" i="6"/>
  <c r="M132" i="6" s="1"/>
  <c r="N132" i="6" s="1"/>
  <c r="L135" i="6"/>
  <c r="M135" i="6" s="1"/>
  <c r="N135" i="6" s="1"/>
  <c r="L133" i="6"/>
  <c r="M133" i="6" s="1"/>
  <c r="N133" i="6" s="1"/>
  <c r="L136" i="6"/>
  <c r="M136" i="6" s="1"/>
  <c r="N136" i="6" s="1"/>
  <c r="L126" i="6"/>
  <c r="M126" i="6" s="1"/>
  <c r="N126" i="6" s="1"/>
  <c r="L129" i="6"/>
  <c r="M129" i="6" s="1"/>
  <c r="N129" i="6" s="1"/>
  <c r="L127" i="6"/>
  <c r="M127" i="6" s="1"/>
  <c r="N127" i="6" s="1"/>
  <c r="L128" i="6"/>
  <c r="M128" i="6" s="1"/>
  <c r="N128" i="6" s="1"/>
  <c r="L119" i="6"/>
  <c r="M119" i="6" s="1"/>
  <c r="N119" i="6" s="1"/>
  <c r="L122" i="6"/>
  <c r="M122" i="6" s="1"/>
  <c r="N122" i="6" s="1"/>
  <c r="L120" i="6"/>
  <c r="M120" i="6" s="1"/>
  <c r="N120" i="6" s="1"/>
  <c r="L123" i="6"/>
  <c r="M123" i="6" s="1"/>
  <c r="N123" i="6" s="1"/>
  <c r="L118" i="6"/>
  <c r="M118" i="6" s="1"/>
  <c r="N118" i="6" s="1"/>
  <c r="L121" i="6"/>
  <c r="M121" i="6" s="1"/>
  <c r="N121" i="6" s="1"/>
  <c r="L124" i="6"/>
  <c r="M124" i="6" s="1"/>
  <c r="N124" i="6" s="1"/>
  <c r="L110" i="6"/>
  <c r="M110" i="6" s="1"/>
  <c r="N110" i="6" s="1"/>
  <c r="L113" i="6"/>
  <c r="M113" i="6" s="1"/>
  <c r="N113" i="6" s="1"/>
  <c r="M108" i="6"/>
  <c r="N108" i="6" s="1"/>
  <c r="M111" i="6"/>
  <c r="N111" i="6" s="1"/>
  <c r="M114" i="6"/>
  <c r="N114" i="6" s="1"/>
  <c r="L109" i="6"/>
  <c r="M109" i="6" s="1"/>
  <c r="N109" i="6" s="1"/>
  <c r="L112" i="6"/>
  <c r="M112" i="6" s="1"/>
  <c r="N112" i="6" s="1"/>
  <c r="L115" i="6"/>
  <c r="M115" i="6" s="1"/>
  <c r="N115" i="6" s="1"/>
  <c r="L106" i="6"/>
  <c r="M106" i="6" s="1"/>
  <c r="N106" i="6" s="1"/>
  <c r="N105" i="6" s="1"/>
  <c r="L99" i="6"/>
  <c r="M99" i="6" s="1"/>
  <c r="N99" i="6" s="1"/>
  <c r="L102" i="6"/>
  <c r="M102" i="6" s="1"/>
  <c r="N102" i="6" s="1"/>
  <c r="L97" i="6"/>
  <c r="M97" i="6" s="1"/>
  <c r="N97" i="6" s="1"/>
  <c r="L100" i="6"/>
  <c r="M100" i="6" s="1"/>
  <c r="N100" i="6" s="1"/>
  <c r="L103" i="6"/>
  <c r="M103" i="6" s="1"/>
  <c r="N103" i="6" s="1"/>
  <c r="L98" i="6"/>
  <c r="M98" i="6" s="1"/>
  <c r="N98" i="6" s="1"/>
  <c r="L101" i="6"/>
  <c r="M101" i="6" s="1"/>
  <c r="N101" i="6" s="1"/>
  <c r="L104" i="6"/>
  <c r="M104" i="6" s="1"/>
  <c r="N104" i="6" s="1"/>
  <c r="L94" i="6"/>
  <c r="M94" i="6" s="1"/>
  <c r="N94" i="6" s="1"/>
  <c r="L95" i="6"/>
  <c r="M95" i="6" s="1"/>
  <c r="N95" i="6" s="1"/>
  <c r="L84" i="6"/>
  <c r="M84" i="6" s="1"/>
  <c r="N84" i="6" s="1"/>
  <c r="L87" i="6"/>
  <c r="M87" i="6" s="1"/>
  <c r="N87" i="6" s="1"/>
  <c r="L90" i="6"/>
  <c r="M90" i="6" s="1"/>
  <c r="N90" i="6" s="1"/>
  <c r="L82" i="6"/>
  <c r="M82" i="6" s="1"/>
  <c r="N82" i="6" s="1"/>
  <c r="L85" i="6"/>
  <c r="M85" i="6" s="1"/>
  <c r="N85" i="6" s="1"/>
  <c r="L88" i="6"/>
  <c r="M88" i="6" s="1"/>
  <c r="N88" i="6" s="1"/>
  <c r="L91" i="6"/>
  <c r="M91" i="6" s="1"/>
  <c r="N91" i="6" s="1"/>
  <c r="L76" i="6"/>
  <c r="M76" i="6" s="1"/>
  <c r="N76" i="6" s="1"/>
  <c r="L77" i="6"/>
  <c r="M77" i="6" s="1"/>
  <c r="N77" i="6" s="1"/>
  <c r="L69" i="6"/>
  <c r="M69" i="6" s="1"/>
  <c r="N69" i="6" s="1"/>
  <c r="L72" i="6"/>
  <c r="M72" i="6" s="1"/>
  <c r="N72" i="6" s="1"/>
  <c r="L70" i="6"/>
  <c r="M70" i="6" s="1"/>
  <c r="N70" i="6" s="1"/>
  <c r="L73" i="6"/>
  <c r="M73" i="6" s="1"/>
  <c r="N73" i="6" s="1"/>
  <c r="L63" i="6"/>
  <c r="M63" i="6" s="1"/>
  <c r="N63" i="6" s="1"/>
  <c r="L64" i="6"/>
  <c r="M64" i="6" s="1"/>
  <c r="N64" i="6" s="1"/>
  <c r="L55" i="6"/>
  <c r="M55" i="6" s="1"/>
  <c r="N55" i="6" s="1"/>
  <c r="L53" i="6"/>
  <c r="M53" i="6" s="1"/>
  <c r="N53" i="6" s="1"/>
  <c r="L56" i="6"/>
  <c r="M56" i="6" s="1"/>
  <c r="N56" i="6" s="1"/>
  <c r="L41" i="6"/>
  <c r="M41" i="6" s="1"/>
  <c r="N41" i="6" s="1"/>
  <c r="L42" i="6"/>
  <c r="M42" i="6" s="1"/>
  <c r="N42" i="6" s="1"/>
  <c r="L40" i="6"/>
  <c r="M40" i="6" s="1"/>
  <c r="N40" i="6" s="1"/>
  <c r="L43" i="6"/>
  <c r="M43" i="6" s="1"/>
  <c r="N43" i="6" s="1"/>
  <c r="L36" i="6"/>
  <c r="M36" i="6" s="1"/>
  <c r="N36" i="6" s="1"/>
  <c r="L34" i="6"/>
  <c r="M34" i="6" s="1"/>
  <c r="N34" i="6" s="1"/>
  <c r="L37" i="6"/>
  <c r="M37" i="6" s="1"/>
  <c r="N37" i="6" s="1"/>
  <c r="L33" i="6"/>
  <c r="M33" i="6" s="1"/>
  <c r="N33" i="6" s="1"/>
  <c r="L29" i="6"/>
  <c r="M29" i="6" s="1"/>
  <c r="N29" i="6" s="1"/>
  <c r="M26" i="6"/>
  <c r="N26" i="6" s="1"/>
  <c r="L30" i="6"/>
  <c r="M30" i="6" s="1"/>
  <c r="N30" i="6" s="1"/>
  <c r="M24" i="6"/>
  <c r="N24" i="6" s="1"/>
  <c r="M27" i="6"/>
  <c r="N27" i="6" s="1"/>
  <c r="L25" i="6"/>
  <c r="M25" i="6" s="1"/>
  <c r="N25" i="6" s="1"/>
  <c r="L28" i="6"/>
  <c r="M28" i="6" s="1"/>
  <c r="N28" i="6" s="1"/>
  <c r="L31" i="6"/>
  <c r="M31" i="6" s="1"/>
  <c r="N31" i="6" s="1"/>
  <c r="L19" i="6"/>
  <c r="M19" i="6" s="1"/>
  <c r="N19" i="6" s="1"/>
  <c r="L20" i="6"/>
  <c r="M20" i="6" s="1"/>
  <c r="N20" i="6" s="1"/>
  <c r="F322" i="5"/>
  <c r="F321" i="5" s="1"/>
  <c r="J30" i="5"/>
  <c r="L30" i="5" s="1"/>
  <c r="M30" i="5" s="1"/>
  <c r="L31" i="5"/>
  <c r="F316" i="5"/>
  <c r="F324" i="5" s="1"/>
  <c r="M266" i="5"/>
  <c r="M27" i="5"/>
  <c r="L59" i="5"/>
  <c r="J58" i="5"/>
  <c r="L66" i="5"/>
  <c r="L21" i="5"/>
  <c r="J36" i="5"/>
  <c r="L29" i="5"/>
  <c r="L61" i="5"/>
  <c r="M61" i="5" s="1"/>
  <c r="M297" i="5"/>
  <c r="I322" i="5"/>
  <c r="K322" i="5"/>
  <c r="K321" i="5" s="1"/>
  <c r="L321" i="5" s="1"/>
  <c r="L72" i="5"/>
  <c r="L239" i="5"/>
  <c r="M239" i="5" s="1"/>
  <c r="L254" i="5"/>
  <c r="M254" i="5" s="1"/>
  <c r="L269" i="5"/>
  <c r="M269" i="5" s="1"/>
  <c r="L276" i="5"/>
  <c r="J45" i="5"/>
  <c r="L183" i="5"/>
  <c r="M183" i="5" s="1"/>
  <c r="L230" i="5"/>
  <c r="M230" i="5" s="1"/>
  <c r="L109" i="5" l="1"/>
  <c r="M109" i="5" s="1"/>
  <c r="L94" i="5"/>
  <c r="M94" i="5" s="1"/>
  <c r="N17" i="6"/>
  <c r="J35" i="5"/>
  <c r="J316" i="5" s="1"/>
  <c r="J324" i="5" s="1"/>
  <c r="L130" i="5"/>
  <c r="M130" i="5" s="1"/>
  <c r="L120" i="5"/>
  <c r="M120" i="5" s="1"/>
  <c r="L75" i="5"/>
  <c r="M75" i="5" s="1"/>
  <c r="N45" i="6"/>
  <c r="K57" i="5"/>
  <c r="L57" i="5" s="1"/>
  <c r="M57" i="5" s="1"/>
  <c r="N67" i="6"/>
  <c r="M76" i="5"/>
  <c r="M42" i="5"/>
  <c r="M21" i="5"/>
  <c r="M29" i="5"/>
  <c r="M31" i="5"/>
  <c r="M93" i="5"/>
  <c r="L92" i="5"/>
  <c r="M92" i="5" s="1"/>
  <c r="M81" i="5"/>
  <c r="L79" i="5"/>
  <c r="M79" i="5" s="1"/>
  <c r="M321" i="5"/>
  <c r="N93" i="6"/>
  <c r="N274" i="6"/>
  <c r="N62" i="6"/>
  <c r="N75" i="6"/>
  <c r="N81" i="6"/>
  <c r="N7" i="6"/>
  <c r="N6" i="6" s="1"/>
  <c r="N239" i="6"/>
  <c r="N125" i="6"/>
  <c r="N206" i="6"/>
  <c r="N138" i="6"/>
  <c r="N96" i="6"/>
  <c r="N218" i="6"/>
  <c r="N107" i="6"/>
  <c r="N185" i="6"/>
  <c r="N262" i="6"/>
  <c r="N23" i="6"/>
  <c r="N130" i="6"/>
  <c r="N52" i="6"/>
  <c r="N253" i="6"/>
  <c r="N117" i="6"/>
  <c r="N285" i="6"/>
  <c r="N224" i="6"/>
  <c r="N39" i="6"/>
  <c r="N299" i="6"/>
  <c r="N32" i="6"/>
  <c r="N166" i="6"/>
  <c r="N291" i="6"/>
  <c r="M276" i="5"/>
  <c r="L275" i="5"/>
  <c r="M275" i="5" s="1"/>
  <c r="L322" i="5"/>
  <c r="M322" i="5" s="1"/>
  <c r="M59" i="5"/>
  <c r="L58" i="5"/>
  <c r="M58" i="5" s="1"/>
  <c r="L71" i="5"/>
  <c r="M71" i="5" s="1"/>
  <c r="M72" i="5"/>
  <c r="M66" i="5"/>
  <c r="M65" i="5"/>
  <c r="M37" i="5" l="1"/>
  <c r="N304" i="6"/>
  <c r="F14" i="5"/>
  <c r="K118" i="3" l="1"/>
  <c r="K105" i="3"/>
  <c r="C118" i="3"/>
  <c r="K14" i="3"/>
  <c r="K79" i="3"/>
  <c r="K92" i="3"/>
  <c r="K66" i="3"/>
  <c r="K53" i="3"/>
  <c r="K40" i="3"/>
  <c r="K27" i="3"/>
  <c r="C105" i="3"/>
  <c r="C92" i="3"/>
  <c r="C79" i="3"/>
  <c r="C66" i="3"/>
  <c r="C53" i="3"/>
  <c r="C40" i="3"/>
  <c r="C27" i="3"/>
  <c r="C14" i="3"/>
  <c r="H425" i="2" l="1"/>
  <c r="H426" i="2"/>
  <c r="H424" i="2"/>
  <c r="H421" i="2" l="1"/>
  <c r="H438" i="2"/>
  <c r="H435" i="2" s="1"/>
  <c r="H434" i="2"/>
  <c r="C432" i="2"/>
  <c r="H420" i="2"/>
  <c r="C418" i="2"/>
  <c r="H331" i="2"/>
  <c r="C329" i="2"/>
  <c r="H315" i="2"/>
  <c r="H317" i="2" s="1"/>
  <c r="C313" i="2"/>
  <c r="H289" i="2"/>
  <c r="C287" i="2"/>
  <c r="H212" i="2"/>
  <c r="C100" i="2"/>
  <c r="H277" i="2"/>
  <c r="H274" i="2" s="1"/>
  <c r="H273" i="2"/>
  <c r="C271" i="2"/>
  <c r="H258" i="2"/>
  <c r="C256" i="2"/>
  <c r="H236" i="2"/>
  <c r="H238" i="2" s="1"/>
  <c r="C234" i="2"/>
  <c r="N214" i="2"/>
  <c r="C210" i="2"/>
  <c r="H259" i="2" l="1"/>
  <c r="H260" i="2" s="1"/>
  <c r="H270" i="2" s="1"/>
  <c r="U28" i="1"/>
  <c r="H291" i="2"/>
  <c r="H436" i="2"/>
  <c r="H422" i="2"/>
  <c r="H333" i="2"/>
  <c r="H275" i="2"/>
  <c r="H214" i="2" l="1"/>
  <c r="U63" i="1"/>
  <c r="I76" i="5"/>
  <c r="N76" i="5" s="1"/>
  <c r="U31" i="1"/>
  <c r="U30" i="1"/>
  <c r="U33" i="1"/>
  <c r="U37" i="1"/>
  <c r="U38" i="1"/>
  <c r="U35" i="1"/>
  <c r="K41" i="5"/>
  <c r="I41" i="5"/>
  <c r="N41" i="5" s="1"/>
  <c r="U106" i="1"/>
  <c r="H196" i="2"/>
  <c r="H193" i="2" s="1"/>
  <c r="H192" i="2"/>
  <c r="C190" i="2"/>
  <c r="D167" i="2"/>
  <c r="L165" i="2"/>
  <c r="H124" i="2"/>
  <c r="D125" i="2"/>
  <c r="H125" i="2" s="1"/>
  <c r="H122" i="2"/>
  <c r="H123" i="2"/>
  <c r="H106" i="2"/>
  <c r="H103" i="2" s="1"/>
  <c r="H118" i="2"/>
  <c r="C116" i="2"/>
  <c r="H102" i="2"/>
  <c r="H92" i="2"/>
  <c r="H91" i="2"/>
  <c r="H88" i="2" l="1"/>
  <c r="H104" i="2"/>
  <c r="H194" i="2"/>
  <c r="H119" i="2"/>
  <c r="H120" i="2" s="1"/>
  <c r="K28" i="5"/>
  <c r="L28" i="5" s="1"/>
  <c r="I28" i="5"/>
  <c r="N28" i="5" s="1"/>
  <c r="U18" i="1"/>
  <c r="I31" i="5"/>
  <c r="N31" i="5" s="1"/>
  <c r="I43" i="5"/>
  <c r="N43" i="5" s="1"/>
  <c r="K43" i="5"/>
  <c r="L43" i="5" s="1"/>
  <c r="M43" i="5" s="1"/>
  <c r="K44" i="5"/>
  <c r="L44" i="5" s="1"/>
  <c r="I44" i="5"/>
  <c r="N44" i="5" s="1"/>
  <c r="K48" i="5"/>
  <c r="L48" i="5" s="1"/>
  <c r="I48" i="5"/>
  <c r="N48" i="5" s="1"/>
  <c r="I51" i="5"/>
  <c r="N51" i="5" s="1"/>
  <c r="K51" i="5"/>
  <c r="L51" i="5" s="1"/>
  <c r="M51" i="5" s="1"/>
  <c r="K50" i="5"/>
  <c r="I50" i="5"/>
  <c r="N50" i="5" s="1"/>
  <c r="K46" i="5"/>
  <c r="I46" i="5"/>
  <c r="N46" i="5" s="1"/>
  <c r="L41" i="5"/>
  <c r="L119" i="5"/>
  <c r="I119" i="5"/>
  <c r="N119" i="5" s="1"/>
  <c r="N37" i="5"/>
  <c r="K45" i="5" l="1"/>
  <c r="L45" i="5" s="1"/>
  <c r="M45" i="5" s="1"/>
  <c r="L50" i="5"/>
  <c r="M50" i="5" s="1"/>
  <c r="M48" i="5"/>
  <c r="M44" i="5"/>
  <c r="M41" i="5"/>
  <c r="M28" i="5"/>
  <c r="U24" i="1"/>
  <c r="L46" i="5"/>
  <c r="U19" i="1"/>
  <c r="I32" i="5"/>
  <c r="N32" i="5" s="1"/>
  <c r="U25" i="1"/>
  <c r="M119" i="5"/>
  <c r="L118" i="5"/>
  <c r="H87" i="2"/>
  <c r="H89" i="2" s="1"/>
  <c r="C85" i="2"/>
  <c r="H79" i="2"/>
  <c r="H71" i="2"/>
  <c r="H63" i="2"/>
  <c r="H55" i="2"/>
  <c r="H53" i="2" s="1"/>
  <c r="H83" i="2"/>
  <c r="H77" i="2" s="1"/>
  <c r="C77" i="2"/>
  <c r="H75" i="2"/>
  <c r="H72" i="2" s="1"/>
  <c r="C69" i="2"/>
  <c r="H67" i="2"/>
  <c r="H64" i="2" s="1"/>
  <c r="C61" i="2"/>
  <c r="H59" i="2"/>
  <c r="H56" i="2" s="1"/>
  <c r="C53" i="2"/>
  <c r="H51" i="2"/>
  <c r="H48" i="2" s="1"/>
  <c r="H49" i="2" s="1"/>
  <c r="C45" i="2"/>
  <c r="H43" i="2"/>
  <c r="H40" i="2" s="1"/>
  <c r="H41" i="2" s="1"/>
  <c r="C37" i="2"/>
  <c r="H35" i="2"/>
  <c r="H32" i="2" s="1"/>
  <c r="H33" i="2" s="1"/>
  <c r="C29" i="2"/>
  <c r="H27" i="2"/>
  <c r="H24" i="2" s="1"/>
  <c r="C21" i="2"/>
  <c r="C10" i="2"/>
  <c r="H16" i="2"/>
  <c r="H10" i="2" s="1"/>
  <c r="H12" i="2"/>
  <c r="M118" i="5" l="1"/>
  <c r="M46" i="5"/>
  <c r="K25" i="5"/>
  <c r="L25" i="5" s="1"/>
  <c r="I25" i="5"/>
  <c r="N25" i="5" s="1"/>
  <c r="K38" i="5"/>
  <c r="L38" i="5" s="1"/>
  <c r="N38" i="5"/>
  <c r="K22" i="5"/>
  <c r="I22" i="5"/>
  <c r="N22" i="5" s="1"/>
  <c r="H13" i="2"/>
  <c r="H14" i="2" s="1"/>
  <c r="H57" i="2"/>
  <c r="H80" i="2"/>
  <c r="H81" i="2" s="1"/>
  <c r="H69" i="2"/>
  <c r="H61" i="2"/>
  <c r="H73" i="2"/>
  <c r="H65" i="2"/>
  <c r="H45" i="2"/>
  <c r="H29" i="2"/>
  <c r="H37" i="2"/>
  <c r="H25" i="2"/>
  <c r="H21" i="2"/>
  <c r="P301" i="1"/>
  <c r="P300" i="1"/>
  <c r="P298" i="1"/>
  <c r="P297" i="1"/>
  <c r="P296" i="1"/>
  <c r="P295" i="1"/>
  <c r="P294" i="1"/>
  <c r="P293" i="1"/>
  <c r="P292" i="1"/>
  <c r="P290" i="1"/>
  <c r="P289" i="1"/>
  <c r="P288" i="1"/>
  <c r="P287" i="1"/>
  <c r="P286" i="1"/>
  <c r="P283" i="1"/>
  <c r="P282" i="1"/>
  <c r="P281" i="1"/>
  <c r="P280" i="1"/>
  <c r="P279" i="1"/>
  <c r="P278" i="1"/>
  <c r="P277" i="1"/>
  <c r="P276" i="1"/>
  <c r="P275" i="1"/>
  <c r="P273" i="1"/>
  <c r="P272" i="1"/>
  <c r="P271" i="1"/>
  <c r="P270" i="1"/>
  <c r="P269" i="1"/>
  <c r="P268" i="1"/>
  <c r="P267" i="1"/>
  <c r="P266" i="1"/>
  <c r="P265" i="1"/>
  <c r="P264" i="1"/>
  <c r="P263" i="1"/>
  <c r="P261" i="1"/>
  <c r="P260" i="1"/>
  <c r="P259" i="1"/>
  <c r="P258" i="1"/>
  <c r="P257" i="1"/>
  <c r="P256" i="1"/>
  <c r="P255" i="1"/>
  <c r="P254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2" i="1"/>
  <c r="P221" i="1"/>
  <c r="P220" i="1"/>
  <c r="P219" i="1"/>
  <c r="P217" i="1"/>
  <c r="P216" i="1"/>
  <c r="P215" i="1"/>
  <c r="P214" i="1"/>
  <c r="P213" i="1"/>
  <c r="P212" i="1"/>
  <c r="P211" i="1"/>
  <c r="P210" i="1"/>
  <c r="P209" i="1"/>
  <c r="P208" i="1"/>
  <c r="P207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7" i="1"/>
  <c r="P136" i="1"/>
  <c r="P135" i="1"/>
  <c r="P134" i="1"/>
  <c r="P133" i="1"/>
  <c r="P132" i="1"/>
  <c r="P131" i="1"/>
  <c r="P129" i="1"/>
  <c r="P128" i="1"/>
  <c r="P127" i="1"/>
  <c r="P126" i="1"/>
  <c r="P124" i="1"/>
  <c r="P123" i="1"/>
  <c r="P122" i="1"/>
  <c r="P121" i="1"/>
  <c r="P120" i="1"/>
  <c r="P119" i="1"/>
  <c r="P118" i="1"/>
  <c r="P115" i="1"/>
  <c r="P114" i="1"/>
  <c r="P113" i="1"/>
  <c r="P112" i="1"/>
  <c r="P111" i="1"/>
  <c r="P110" i="1"/>
  <c r="P109" i="1"/>
  <c r="P108" i="1"/>
  <c r="P106" i="1"/>
  <c r="P104" i="1"/>
  <c r="P103" i="1"/>
  <c r="P102" i="1"/>
  <c r="P101" i="1"/>
  <c r="P100" i="1"/>
  <c r="P99" i="1"/>
  <c r="P98" i="1"/>
  <c r="P97" i="1"/>
  <c r="P95" i="1"/>
  <c r="P94" i="1"/>
  <c r="P92" i="1"/>
  <c r="P91" i="1"/>
  <c r="P90" i="1"/>
  <c r="P89" i="1"/>
  <c r="P88" i="1"/>
  <c r="P87" i="1"/>
  <c r="P86" i="1"/>
  <c r="P85" i="1"/>
  <c r="P84" i="1"/>
  <c r="P83" i="1"/>
  <c r="P82" i="1"/>
  <c r="P80" i="1"/>
  <c r="P78" i="1"/>
  <c r="P77" i="1"/>
  <c r="P76" i="1"/>
  <c r="P74" i="1"/>
  <c r="P73" i="1"/>
  <c r="P72" i="1"/>
  <c r="P71" i="1"/>
  <c r="P70" i="1"/>
  <c r="P69" i="1"/>
  <c r="P68" i="1"/>
  <c r="P65" i="1"/>
  <c r="P64" i="1"/>
  <c r="P63" i="1"/>
  <c r="P61" i="1"/>
  <c r="P59" i="1"/>
  <c r="P57" i="1"/>
  <c r="P56" i="1"/>
  <c r="P55" i="1"/>
  <c r="P54" i="1"/>
  <c r="P53" i="1"/>
  <c r="P51" i="1"/>
  <c r="P50" i="1"/>
  <c r="P49" i="1"/>
  <c r="P48" i="1"/>
  <c r="P47" i="1"/>
  <c r="P46" i="1"/>
  <c r="P43" i="1"/>
  <c r="P42" i="1"/>
  <c r="P41" i="1"/>
  <c r="P40" i="1"/>
  <c r="P38" i="1"/>
  <c r="P37" i="1"/>
  <c r="P36" i="1"/>
  <c r="P35" i="1"/>
  <c r="P34" i="1"/>
  <c r="P33" i="1"/>
  <c r="P31" i="1"/>
  <c r="P30" i="1"/>
  <c r="P29" i="1"/>
  <c r="P28" i="1"/>
  <c r="P27" i="1"/>
  <c r="P26" i="1"/>
  <c r="P25" i="1"/>
  <c r="P24" i="1"/>
  <c r="P21" i="1"/>
  <c r="P20" i="1"/>
  <c r="P19" i="1"/>
  <c r="P18" i="1"/>
  <c r="P8" i="1"/>
  <c r="P9" i="1"/>
  <c r="P10" i="1"/>
  <c r="P11" i="1"/>
  <c r="P12" i="1"/>
  <c r="P13" i="1"/>
  <c r="P14" i="1"/>
  <c r="P15" i="1"/>
  <c r="P16" i="1"/>
  <c r="P7" i="1"/>
  <c r="AB301" i="1"/>
  <c r="V301" i="1"/>
  <c r="Q301" i="1"/>
  <c r="S301" i="1" s="1"/>
  <c r="T301" i="1" s="1"/>
  <c r="AJ301" i="1" s="1"/>
  <c r="AB300" i="1"/>
  <c r="V300" i="1"/>
  <c r="Q300" i="1"/>
  <c r="AB298" i="1"/>
  <c r="V298" i="1"/>
  <c r="Q298" i="1"/>
  <c r="AB297" i="1"/>
  <c r="V297" i="1"/>
  <c r="Q297" i="1"/>
  <c r="AB296" i="1"/>
  <c r="V296" i="1"/>
  <c r="Q296" i="1"/>
  <c r="AB295" i="1"/>
  <c r="V295" i="1"/>
  <c r="Q295" i="1"/>
  <c r="AB294" i="1"/>
  <c r="V294" i="1"/>
  <c r="Q294" i="1"/>
  <c r="AB293" i="1"/>
  <c r="V293" i="1"/>
  <c r="Q293" i="1"/>
  <c r="AB292" i="1"/>
  <c r="V292" i="1"/>
  <c r="Q292" i="1"/>
  <c r="AB290" i="1"/>
  <c r="V290" i="1"/>
  <c r="Q290" i="1"/>
  <c r="AB289" i="1"/>
  <c r="V289" i="1"/>
  <c r="Q289" i="1"/>
  <c r="AB288" i="1"/>
  <c r="V288" i="1"/>
  <c r="Q288" i="1"/>
  <c r="AB287" i="1"/>
  <c r="V287" i="1"/>
  <c r="Q287" i="1"/>
  <c r="AB286" i="1"/>
  <c r="V286" i="1"/>
  <c r="Q286" i="1"/>
  <c r="AB283" i="1"/>
  <c r="V283" i="1"/>
  <c r="Q283" i="1"/>
  <c r="AB282" i="1"/>
  <c r="V282" i="1"/>
  <c r="Q282" i="1"/>
  <c r="AB281" i="1"/>
  <c r="V281" i="1"/>
  <c r="Q281" i="1"/>
  <c r="AB280" i="1"/>
  <c r="V280" i="1"/>
  <c r="Q280" i="1"/>
  <c r="AB279" i="1"/>
  <c r="V279" i="1"/>
  <c r="Q279" i="1"/>
  <c r="AB278" i="1"/>
  <c r="V278" i="1"/>
  <c r="Q278" i="1"/>
  <c r="AB277" i="1"/>
  <c r="V277" i="1"/>
  <c r="Q277" i="1"/>
  <c r="AB276" i="1"/>
  <c r="V276" i="1"/>
  <c r="Q276" i="1"/>
  <c r="AB275" i="1"/>
  <c r="V275" i="1"/>
  <c r="Q275" i="1"/>
  <c r="AB273" i="1"/>
  <c r="V273" i="1"/>
  <c r="Q273" i="1"/>
  <c r="AB272" i="1"/>
  <c r="V272" i="1"/>
  <c r="Q272" i="1"/>
  <c r="AB271" i="1"/>
  <c r="V271" i="1"/>
  <c r="Q271" i="1"/>
  <c r="AB270" i="1"/>
  <c r="V270" i="1"/>
  <c r="Q270" i="1"/>
  <c r="AB269" i="1"/>
  <c r="V269" i="1"/>
  <c r="Q269" i="1"/>
  <c r="AB268" i="1"/>
  <c r="V268" i="1"/>
  <c r="Q268" i="1"/>
  <c r="AB267" i="1"/>
  <c r="V267" i="1"/>
  <c r="Q267" i="1"/>
  <c r="AB266" i="1"/>
  <c r="V266" i="1"/>
  <c r="Q266" i="1"/>
  <c r="AB265" i="1"/>
  <c r="V265" i="1"/>
  <c r="Q265" i="1"/>
  <c r="AB264" i="1"/>
  <c r="V264" i="1"/>
  <c r="Q264" i="1"/>
  <c r="AB263" i="1"/>
  <c r="V263" i="1"/>
  <c r="Q263" i="1"/>
  <c r="AB261" i="1"/>
  <c r="V261" i="1"/>
  <c r="Q261" i="1"/>
  <c r="AB260" i="1"/>
  <c r="V260" i="1"/>
  <c r="Q260" i="1"/>
  <c r="AB259" i="1"/>
  <c r="V259" i="1"/>
  <c r="Q259" i="1"/>
  <c r="AB258" i="1"/>
  <c r="V258" i="1"/>
  <c r="Q258" i="1"/>
  <c r="AB257" i="1"/>
  <c r="V257" i="1"/>
  <c r="Q257" i="1"/>
  <c r="AB256" i="1"/>
  <c r="V256" i="1"/>
  <c r="Q256" i="1"/>
  <c r="AB255" i="1"/>
  <c r="V255" i="1"/>
  <c r="Q255" i="1"/>
  <c r="AB254" i="1"/>
  <c r="V254" i="1"/>
  <c r="Q254" i="1"/>
  <c r="AB252" i="1"/>
  <c r="V252" i="1"/>
  <c r="Q252" i="1"/>
  <c r="AB251" i="1"/>
  <c r="V251" i="1"/>
  <c r="Q251" i="1"/>
  <c r="AB250" i="1"/>
  <c r="V250" i="1"/>
  <c r="Q250" i="1"/>
  <c r="AB249" i="1"/>
  <c r="V249" i="1"/>
  <c r="Q249" i="1"/>
  <c r="AB248" i="1"/>
  <c r="V248" i="1"/>
  <c r="Q248" i="1"/>
  <c r="AB247" i="1"/>
  <c r="V247" i="1"/>
  <c r="Q247" i="1"/>
  <c r="AB246" i="1"/>
  <c r="V246" i="1"/>
  <c r="Q246" i="1"/>
  <c r="AB245" i="1"/>
  <c r="V245" i="1"/>
  <c r="Q245" i="1"/>
  <c r="AB244" i="1"/>
  <c r="V244" i="1"/>
  <c r="Q244" i="1"/>
  <c r="AB243" i="1"/>
  <c r="V243" i="1"/>
  <c r="Q243" i="1"/>
  <c r="AB242" i="1"/>
  <c r="V242" i="1"/>
  <c r="Q242" i="1"/>
  <c r="AB241" i="1"/>
  <c r="V241" i="1"/>
  <c r="Q241" i="1"/>
  <c r="AB240" i="1"/>
  <c r="V240" i="1"/>
  <c r="Q240" i="1"/>
  <c r="AB238" i="1"/>
  <c r="V238" i="1"/>
  <c r="Q238" i="1"/>
  <c r="AB237" i="1"/>
  <c r="V237" i="1"/>
  <c r="Q237" i="1"/>
  <c r="AB236" i="1"/>
  <c r="V236" i="1"/>
  <c r="Q236" i="1"/>
  <c r="AB235" i="1"/>
  <c r="V235" i="1"/>
  <c r="Q235" i="1"/>
  <c r="AB234" i="1"/>
  <c r="V234" i="1"/>
  <c r="Q234" i="1"/>
  <c r="AB233" i="1"/>
  <c r="V233" i="1"/>
  <c r="Q233" i="1"/>
  <c r="AB232" i="1"/>
  <c r="V232" i="1"/>
  <c r="Q232" i="1"/>
  <c r="AB231" i="1"/>
  <c r="V231" i="1"/>
  <c r="Q231" i="1"/>
  <c r="AB230" i="1"/>
  <c r="V230" i="1"/>
  <c r="Q230" i="1"/>
  <c r="AB229" i="1"/>
  <c r="V229" i="1"/>
  <c r="Q229" i="1"/>
  <c r="AB228" i="1"/>
  <c r="V228" i="1"/>
  <c r="Q228" i="1"/>
  <c r="AB227" i="1"/>
  <c r="V227" i="1"/>
  <c r="Q227" i="1"/>
  <c r="AB226" i="1"/>
  <c r="V226" i="1"/>
  <c r="Q226" i="1"/>
  <c r="AB225" i="1"/>
  <c r="V225" i="1"/>
  <c r="Q225" i="1"/>
  <c r="AB222" i="1"/>
  <c r="V222" i="1"/>
  <c r="Q222" i="1"/>
  <c r="AB221" i="1"/>
  <c r="V221" i="1"/>
  <c r="Q221" i="1"/>
  <c r="AB220" i="1"/>
  <c r="V220" i="1"/>
  <c r="Q220" i="1"/>
  <c r="AB219" i="1"/>
  <c r="V219" i="1"/>
  <c r="Q219" i="1"/>
  <c r="AB217" i="1"/>
  <c r="V217" i="1"/>
  <c r="Q217" i="1"/>
  <c r="S217" i="1" s="1"/>
  <c r="T217" i="1" s="1"/>
  <c r="AJ217" i="1" s="1"/>
  <c r="AB216" i="1"/>
  <c r="V216" i="1"/>
  <c r="Q216" i="1"/>
  <c r="S216" i="1" s="1"/>
  <c r="T216" i="1" s="1"/>
  <c r="AJ216" i="1" s="1"/>
  <c r="AB215" i="1"/>
  <c r="V215" i="1"/>
  <c r="Q215" i="1"/>
  <c r="S215" i="1" s="1"/>
  <c r="T215" i="1" s="1"/>
  <c r="AJ215" i="1" s="1"/>
  <c r="AB214" i="1"/>
  <c r="V214" i="1"/>
  <c r="Q214" i="1"/>
  <c r="S214" i="1" s="1"/>
  <c r="T214" i="1" s="1"/>
  <c r="AJ214" i="1" s="1"/>
  <c r="AB213" i="1"/>
  <c r="V213" i="1"/>
  <c r="Q213" i="1"/>
  <c r="S213" i="1" s="1"/>
  <c r="T213" i="1" s="1"/>
  <c r="AJ213" i="1" s="1"/>
  <c r="AB212" i="1"/>
  <c r="V212" i="1"/>
  <c r="Q212" i="1"/>
  <c r="S212" i="1" s="1"/>
  <c r="T212" i="1" s="1"/>
  <c r="AJ212" i="1" s="1"/>
  <c r="AB211" i="1"/>
  <c r="V211" i="1"/>
  <c r="Q211" i="1"/>
  <c r="S211" i="1" s="1"/>
  <c r="T211" i="1" s="1"/>
  <c r="AJ211" i="1" s="1"/>
  <c r="AB210" i="1"/>
  <c r="V210" i="1"/>
  <c r="Q210" i="1"/>
  <c r="S210" i="1" s="1"/>
  <c r="T210" i="1" s="1"/>
  <c r="AJ210" i="1" s="1"/>
  <c r="AB209" i="1"/>
  <c r="V209" i="1"/>
  <c r="Q209" i="1"/>
  <c r="S209" i="1" s="1"/>
  <c r="T209" i="1" s="1"/>
  <c r="AJ209" i="1" s="1"/>
  <c r="AB208" i="1"/>
  <c r="V208" i="1"/>
  <c r="Q208" i="1"/>
  <c r="S208" i="1" s="1"/>
  <c r="T208" i="1" s="1"/>
  <c r="AJ208" i="1" s="1"/>
  <c r="AB207" i="1"/>
  <c r="V207" i="1"/>
  <c r="Q207" i="1"/>
  <c r="S207" i="1" s="1"/>
  <c r="T207" i="1" s="1"/>
  <c r="AJ207" i="1" s="1"/>
  <c r="AB205" i="1"/>
  <c r="V205" i="1"/>
  <c r="Q205" i="1"/>
  <c r="S205" i="1" s="1"/>
  <c r="T205" i="1" s="1"/>
  <c r="AJ205" i="1" s="1"/>
  <c r="AB204" i="1"/>
  <c r="V204" i="1"/>
  <c r="Q204" i="1"/>
  <c r="S204" i="1" s="1"/>
  <c r="T204" i="1" s="1"/>
  <c r="AJ204" i="1" s="1"/>
  <c r="AB203" i="1"/>
  <c r="V203" i="1"/>
  <c r="Q203" i="1"/>
  <c r="AB202" i="1"/>
  <c r="V202" i="1"/>
  <c r="Q202" i="1"/>
  <c r="AB201" i="1"/>
  <c r="V201" i="1"/>
  <c r="Q201" i="1"/>
  <c r="AB200" i="1"/>
  <c r="V200" i="1"/>
  <c r="Q200" i="1"/>
  <c r="AB199" i="1"/>
  <c r="V199" i="1"/>
  <c r="Q199" i="1"/>
  <c r="AB198" i="1"/>
  <c r="V198" i="1"/>
  <c r="Q198" i="1"/>
  <c r="AB197" i="1"/>
  <c r="V197" i="1"/>
  <c r="Q197" i="1"/>
  <c r="AB196" i="1"/>
  <c r="V196" i="1"/>
  <c r="Q196" i="1"/>
  <c r="AB195" i="1"/>
  <c r="V195" i="1"/>
  <c r="Q195" i="1"/>
  <c r="AB194" i="1"/>
  <c r="V194" i="1"/>
  <c r="Q194" i="1"/>
  <c r="AB193" i="1"/>
  <c r="V193" i="1"/>
  <c r="Q193" i="1"/>
  <c r="AB192" i="1"/>
  <c r="V192" i="1"/>
  <c r="Q192" i="1"/>
  <c r="AB191" i="1"/>
  <c r="V191" i="1"/>
  <c r="Q191" i="1"/>
  <c r="AB190" i="1"/>
  <c r="V190" i="1"/>
  <c r="Q190" i="1"/>
  <c r="AB189" i="1"/>
  <c r="V189" i="1"/>
  <c r="Q189" i="1"/>
  <c r="AB188" i="1"/>
  <c r="V188" i="1"/>
  <c r="Q188" i="1"/>
  <c r="AB187" i="1"/>
  <c r="V187" i="1"/>
  <c r="Q187" i="1"/>
  <c r="AB186" i="1"/>
  <c r="V186" i="1"/>
  <c r="Q186" i="1"/>
  <c r="AB184" i="1"/>
  <c r="V184" i="1"/>
  <c r="Q184" i="1"/>
  <c r="AB183" i="1"/>
  <c r="V183" i="1"/>
  <c r="Q183" i="1"/>
  <c r="AB182" i="1"/>
  <c r="V182" i="1"/>
  <c r="Q182" i="1"/>
  <c r="AB181" i="1"/>
  <c r="V181" i="1"/>
  <c r="Q181" i="1"/>
  <c r="AB180" i="1"/>
  <c r="V180" i="1"/>
  <c r="Q180" i="1"/>
  <c r="AB179" i="1"/>
  <c r="V179" i="1"/>
  <c r="Q179" i="1"/>
  <c r="AB178" i="1"/>
  <c r="V178" i="1"/>
  <c r="Q178" i="1"/>
  <c r="AB177" i="1"/>
  <c r="V177" i="1"/>
  <c r="Q177" i="1"/>
  <c r="AB176" i="1"/>
  <c r="V176" i="1"/>
  <c r="Q176" i="1"/>
  <c r="AB175" i="1"/>
  <c r="V175" i="1"/>
  <c r="Q175" i="1"/>
  <c r="AB174" i="1"/>
  <c r="V174" i="1"/>
  <c r="Q174" i="1"/>
  <c r="AB173" i="1"/>
  <c r="V173" i="1"/>
  <c r="Q173" i="1"/>
  <c r="AB172" i="1"/>
  <c r="V172" i="1"/>
  <c r="Q172" i="1"/>
  <c r="AB171" i="1"/>
  <c r="V171" i="1"/>
  <c r="Q171" i="1"/>
  <c r="AB170" i="1"/>
  <c r="V170" i="1"/>
  <c r="Q170" i="1"/>
  <c r="AB169" i="1"/>
  <c r="V169" i="1"/>
  <c r="Q169" i="1"/>
  <c r="AB168" i="1"/>
  <c r="V168" i="1"/>
  <c r="Q168" i="1"/>
  <c r="S168" i="1" s="1"/>
  <c r="T168" i="1" s="1"/>
  <c r="AJ168" i="1" s="1"/>
  <c r="AB167" i="1"/>
  <c r="V167" i="1"/>
  <c r="Q167" i="1"/>
  <c r="W167" i="1" s="1"/>
  <c r="Y167" i="1" s="1"/>
  <c r="AB165" i="1"/>
  <c r="V165" i="1"/>
  <c r="Q165" i="1"/>
  <c r="W165" i="1" s="1"/>
  <c r="AB164" i="1"/>
  <c r="V164" i="1"/>
  <c r="Q164" i="1"/>
  <c r="W164" i="1" s="1"/>
  <c r="Y164" i="1" s="1"/>
  <c r="AB163" i="1"/>
  <c r="V163" i="1"/>
  <c r="Q163" i="1"/>
  <c r="AB162" i="1"/>
  <c r="V162" i="1"/>
  <c r="Q162" i="1"/>
  <c r="S162" i="1" s="1"/>
  <c r="T162" i="1" s="1"/>
  <c r="AJ162" i="1" s="1"/>
  <c r="AB161" i="1"/>
  <c r="V161" i="1"/>
  <c r="Q161" i="1"/>
  <c r="AB160" i="1"/>
  <c r="V160" i="1"/>
  <c r="Q160" i="1"/>
  <c r="R160" i="1" s="1"/>
  <c r="AB159" i="1"/>
  <c r="V159" i="1"/>
  <c r="Q159" i="1"/>
  <c r="AB158" i="1"/>
  <c r="V158" i="1"/>
  <c r="Q158" i="1"/>
  <c r="AB157" i="1"/>
  <c r="V157" i="1"/>
  <c r="Q157" i="1"/>
  <c r="W157" i="1" s="1"/>
  <c r="AB156" i="1"/>
  <c r="V156" i="1"/>
  <c r="Q156" i="1"/>
  <c r="W156" i="1" s="1"/>
  <c r="Y156" i="1" s="1"/>
  <c r="AB155" i="1"/>
  <c r="V155" i="1"/>
  <c r="Q155" i="1"/>
  <c r="AB154" i="1"/>
  <c r="V154" i="1"/>
  <c r="Q154" i="1"/>
  <c r="AB153" i="1"/>
  <c r="V153" i="1"/>
  <c r="Q153" i="1"/>
  <c r="W153" i="1" s="1"/>
  <c r="AB152" i="1"/>
  <c r="V152" i="1"/>
  <c r="Q152" i="1"/>
  <c r="W152" i="1" s="1"/>
  <c r="AB151" i="1"/>
  <c r="V151" i="1"/>
  <c r="Q151" i="1"/>
  <c r="S151" i="1" s="1"/>
  <c r="T151" i="1" s="1"/>
  <c r="AJ151" i="1" s="1"/>
  <c r="AB150" i="1"/>
  <c r="V150" i="1"/>
  <c r="Q150" i="1"/>
  <c r="AB149" i="1"/>
  <c r="V149" i="1"/>
  <c r="Q149" i="1"/>
  <c r="W149" i="1" s="1"/>
  <c r="AB148" i="1"/>
  <c r="V148" i="1"/>
  <c r="Q148" i="1"/>
  <c r="S148" i="1" s="1"/>
  <c r="T148" i="1" s="1"/>
  <c r="AJ148" i="1" s="1"/>
  <c r="AB147" i="1"/>
  <c r="V147" i="1"/>
  <c r="Q147" i="1"/>
  <c r="S147" i="1" s="1"/>
  <c r="T147" i="1" s="1"/>
  <c r="AJ147" i="1" s="1"/>
  <c r="AB146" i="1"/>
  <c r="V146" i="1"/>
  <c r="Q146" i="1"/>
  <c r="AB145" i="1"/>
  <c r="V145" i="1"/>
  <c r="Q145" i="1"/>
  <c r="AB144" i="1"/>
  <c r="V144" i="1"/>
  <c r="Q144" i="1"/>
  <c r="S144" i="1" s="1"/>
  <c r="T144" i="1" s="1"/>
  <c r="AJ144" i="1" s="1"/>
  <c r="AB143" i="1"/>
  <c r="V143" i="1"/>
  <c r="Q143" i="1"/>
  <c r="S143" i="1" s="1"/>
  <c r="T143" i="1" s="1"/>
  <c r="AJ143" i="1" s="1"/>
  <c r="AB142" i="1"/>
  <c r="V142" i="1"/>
  <c r="Q142" i="1"/>
  <c r="AB141" i="1"/>
  <c r="V141" i="1"/>
  <c r="Q141" i="1"/>
  <c r="W141" i="1" s="1"/>
  <c r="AB140" i="1"/>
  <c r="V140" i="1"/>
  <c r="Q140" i="1"/>
  <c r="W140" i="1" s="1"/>
  <c r="AB139" i="1"/>
  <c r="V139" i="1"/>
  <c r="Q139" i="1"/>
  <c r="S139" i="1" s="1"/>
  <c r="T139" i="1" s="1"/>
  <c r="AB16" i="1"/>
  <c r="V16" i="1"/>
  <c r="AB15" i="1"/>
  <c r="V15" i="1"/>
  <c r="AB14" i="1"/>
  <c r="V14" i="1"/>
  <c r="AB13" i="1"/>
  <c r="V13" i="1"/>
  <c r="AB12" i="1"/>
  <c r="V12" i="1"/>
  <c r="AB11" i="1"/>
  <c r="V11" i="1"/>
  <c r="AB10" i="1"/>
  <c r="V10" i="1"/>
  <c r="AB9" i="1"/>
  <c r="V9" i="1"/>
  <c r="AB8" i="1"/>
  <c r="V8" i="1"/>
  <c r="AB7" i="1"/>
  <c r="V7" i="1"/>
  <c r="AB21" i="1"/>
  <c r="V21" i="1"/>
  <c r="AB20" i="1"/>
  <c r="V20" i="1"/>
  <c r="AB19" i="1"/>
  <c r="V19" i="1"/>
  <c r="AB18" i="1"/>
  <c r="V18" i="1"/>
  <c r="AB31" i="1"/>
  <c r="V31" i="1"/>
  <c r="AB30" i="1"/>
  <c r="V30" i="1"/>
  <c r="AB29" i="1"/>
  <c r="V29" i="1"/>
  <c r="AB28" i="1"/>
  <c r="V28" i="1"/>
  <c r="AB27" i="1"/>
  <c r="V27" i="1"/>
  <c r="AB26" i="1"/>
  <c r="V26" i="1"/>
  <c r="AB25" i="1"/>
  <c r="V25" i="1"/>
  <c r="AB24" i="1"/>
  <c r="V24" i="1"/>
  <c r="AB38" i="1"/>
  <c r="V38" i="1"/>
  <c r="AB37" i="1"/>
  <c r="V37" i="1"/>
  <c r="AB36" i="1"/>
  <c r="V36" i="1"/>
  <c r="AB35" i="1"/>
  <c r="V35" i="1"/>
  <c r="AB34" i="1"/>
  <c r="V34" i="1"/>
  <c r="AB33" i="1"/>
  <c r="V33" i="1"/>
  <c r="AB43" i="1"/>
  <c r="V43" i="1"/>
  <c r="AB42" i="1"/>
  <c r="V42" i="1"/>
  <c r="AB41" i="1"/>
  <c r="V41" i="1"/>
  <c r="AB40" i="1"/>
  <c r="V40" i="1"/>
  <c r="AB51" i="1"/>
  <c r="V51" i="1"/>
  <c r="AB50" i="1"/>
  <c r="V50" i="1"/>
  <c r="AB49" i="1"/>
  <c r="V49" i="1"/>
  <c r="AB48" i="1"/>
  <c r="V48" i="1"/>
  <c r="AB47" i="1"/>
  <c r="V47" i="1"/>
  <c r="AB46" i="1"/>
  <c r="V46" i="1"/>
  <c r="AB57" i="1"/>
  <c r="V57" i="1"/>
  <c r="AB56" i="1"/>
  <c r="V56" i="1"/>
  <c r="AB55" i="1"/>
  <c r="V55" i="1"/>
  <c r="AB54" i="1"/>
  <c r="V54" i="1"/>
  <c r="AB53" i="1"/>
  <c r="V53" i="1"/>
  <c r="AB59" i="1"/>
  <c r="V59" i="1"/>
  <c r="AB61" i="1"/>
  <c r="V61" i="1"/>
  <c r="AB65" i="1"/>
  <c r="V65" i="1"/>
  <c r="AB64" i="1"/>
  <c r="V64" i="1"/>
  <c r="AB63" i="1"/>
  <c r="V63" i="1"/>
  <c r="AB74" i="1"/>
  <c r="V74" i="1"/>
  <c r="AB73" i="1"/>
  <c r="V73" i="1"/>
  <c r="AB72" i="1"/>
  <c r="V72" i="1"/>
  <c r="AB71" i="1"/>
  <c r="V71" i="1"/>
  <c r="AB70" i="1"/>
  <c r="V70" i="1"/>
  <c r="AB69" i="1"/>
  <c r="V69" i="1"/>
  <c r="AB68" i="1"/>
  <c r="V68" i="1"/>
  <c r="AB78" i="1"/>
  <c r="V78" i="1"/>
  <c r="AB77" i="1"/>
  <c r="V77" i="1"/>
  <c r="AB76" i="1"/>
  <c r="V76" i="1"/>
  <c r="AB80" i="1"/>
  <c r="V80" i="1"/>
  <c r="AB92" i="1"/>
  <c r="V92" i="1"/>
  <c r="AB91" i="1"/>
  <c r="V91" i="1"/>
  <c r="AB90" i="1"/>
  <c r="V90" i="1"/>
  <c r="AB89" i="1"/>
  <c r="V89" i="1"/>
  <c r="AB88" i="1"/>
  <c r="V88" i="1"/>
  <c r="AB87" i="1"/>
  <c r="V87" i="1"/>
  <c r="AB86" i="1"/>
  <c r="V86" i="1"/>
  <c r="AB85" i="1"/>
  <c r="V85" i="1"/>
  <c r="AB84" i="1"/>
  <c r="V84" i="1"/>
  <c r="AB83" i="1"/>
  <c r="V83" i="1"/>
  <c r="AB82" i="1"/>
  <c r="V82" i="1"/>
  <c r="AB95" i="1"/>
  <c r="V95" i="1"/>
  <c r="AB94" i="1"/>
  <c r="V94" i="1"/>
  <c r="AB104" i="1"/>
  <c r="V104" i="1"/>
  <c r="AB103" i="1"/>
  <c r="V103" i="1"/>
  <c r="AB102" i="1"/>
  <c r="V102" i="1"/>
  <c r="AB101" i="1"/>
  <c r="V101" i="1"/>
  <c r="AB100" i="1"/>
  <c r="V100" i="1"/>
  <c r="AB99" i="1"/>
  <c r="V99" i="1"/>
  <c r="AB98" i="1"/>
  <c r="V98" i="1"/>
  <c r="AB97" i="1"/>
  <c r="V97" i="1"/>
  <c r="AB106" i="1"/>
  <c r="V106" i="1"/>
  <c r="AB115" i="1"/>
  <c r="V115" i="1"/>
  <c r="AB114" i="1"/>
  <c r="V114" i="1"/>
  <c r="AB113" i="1"/>
  <c r="V113" i="1"/>
  <c r="AB112" i="1"/>
  <c r="V112" i="1"/>
  <c r="AB111" i="1"/>
  <c r="V111" i="1"/>
  <c r="AB110" i="1"/>
  <c r="V110" i="1"/>
  <c r="AB109" i="1"/>
  <c r="V109" i="1"/>
  <c r="AB108" i="1"/>
  <c r="V108" i="1"/>
  <c r="AB124" i="1"/>
  <c r="V124" i="1"/>
  <c r="AB123" i="1"/>
  <c r="V123" i="1"/>
  <c r="AB122" i="1"/>
  <c r="V122" i="1"/>
  <c r="AB121" i="1"/>
  <c r="V121" i="1"/>
  <c r="AB120" i="1"/>
  <c r="V120" i="1"/>
  <c r="AB119" i="1"/>
  <c r="V119" i="1"/>
  <c r="AB118" i="1"/>
  <c r="V118" i="1"/>
  <c r="AB129" i="1"/>
  <c r="V129" i="1"/>
  <c r="AB128" i="1"/>
  <c r="V128" i="1"/>
  <c r="AB127" i="1"/>
  <c r="V127" i="1"/>
  <c r="AB126" i="1"/>
  <c r="V126" i="1"/>
  <c r="AB132" i="1"/>
  <c r="AB133" i="1"/>
  <c r="AB134" i="1"/>
  <c r="AB135" i="1"/>
  <c r="AB136" i="1"/>
  <c r="AB137" i="1"/>
  <c r="AB131" i="1"/>
  <c r="V132" i="1"/>
  <c r="V133" i="1"/>
  <c r="V134" i="1"/>
  <c r="V135" i="1"/>
  <c r="V136" i="1"/>
  <c r="V137" i="1"/>
  <c r="V131" i="1"/>
  <c r="Q137" i="1"/>
  <c r="S137" i="1" s="1"/>
  <c r="T137" i="1" s="1"/>
  <c r="AJ137" i="1" s="1"/>
  <c r="Q136" i="1"/>
  <c r="W136" i="1" s="1"/>
  <c r="Y136" i="1" s="1"/>
  <c r="Q135" i="1"/>
  <c r="W135" i="1" s="1"/>
  <c r="Y135" i="1" s="1"/>
  <c r="Q134" i="1"/>
  <c r="S134" i="1" s="1"/>
  <c r="T134" i="1" s="1"/>
  <c r="AJ134" i="1" s="1"/>
  <c r="Q133" i="1"/>
  <c r="S133" i="1" s="1"/>
  <c r="T133" i="1" s="1"/>
  <c r="AJ133" i="1" s="1"/>
  <c r="Q132" i="1"/>
  <c r="W132" i="1" s="1"/>
  <c r="Y132" i="1" s="1"/>
  <c r="Q131" i="1"/>
  <c r="W131" i="1" s="1"/>
  <c r="Y131" i="1" s="1"/>
  <c r="Q129" i="1"/>
  <c r="S129" i="1" s="1"/>
  <c r="T129" i="1" s="1"/>
  <c r="AJ129" i="1" s="1"/>
  <c r="Q128" i="1"/>
  <c r="R128" i="1" s="1"/>
  <c r="Q127" i="1"/>
  <c r="R127" i="1" s="1"/>
  <c r="Q126" i="1"/>
  <c r="S126" i="1" s="1"/>
  <c r="T126" i="1" s="1"/>
  <c r="AJ126" i="1" s="1"/>
  <c r="Q124" i="1"/>
  <c r="Q123" i="1"/>
  <c r="W123" i="1" s="1"/>
  <c r="Q122" i="1"/>
  <c r="R122" i="1" s="1"/>
  <c r="Q121" i="1"/>
  <c r="S121" i="1" s="1"/>
  <c r="T121" i="1" s="1"/>
  <c r="AJ121" i="1" s="1"/>
  <c r="Q120" i="1"/>
  <c r="S120" i="1" s="1"/>
  <c r="T120" i="1" s="1"/>
  <c r="AJ120" i="1" s="1"/>
  <c r="Q119" i="1"/>
  <c r="R119" i="1" s="1"/>
  <c r="Q118" i="1"/>
  <c r="R118" i="1" s="1"/>
  <c r="Q115" i="1"/>
  <c r="Q114" i="1"/>
  <c r="R114" i="1" s="1"/>
  <c r="Q113" i="1"/>
  <c r="R113" i="1" s="1"/>
  <c r="Q112" i="1"/>
  <c r="Q111" i="1"/>
  <c r="Q110" i="1"/>
  <c r="W110" i="1" s="1"/>
  <c r="Y110" i="1" s="1"/>
  <c r="Q109" i="1"/>
  <c r="W109" i="1" s="1"/>
  <c r="Y109" i="1" s="1"/>
  <c r="Q108" i="1"/>
  <c r="Q106" i="1"/>
  <c r="Q104" i="1"/>
  <c r="Q103" i="1"/>
  <c r="W103" i="1" s="1"/>
  <c r="Y103" i="1" s="1"/>
  <c r="Q102" i="1"/>
  <c r="S102" i="1" s="1"/>
  <c r="T102" i="1" s="1"/>
  <c r="AJ102" i="1" s="1"/>
  <c r="Q101" i="1"/>
  <c r="S101" i="1" s="1"/>
  <c r="T101" i="1" s="1"/>
  <c r="AJ101" i="1" s="1"/>
  <c r="Q100" i="1"/>
  <c r="Q99" i="1"/>
  <c r="S99" i="1" s="1"/>
  <c r="T99" i="1" s="1"/>
  <c r="AJ99" i="1" s="1"/>
  <c r="Q98" i="1"/>
  <c r="Q97" i="1"/>
  <c r="S97" i="1" s="1"/>
  <c r="T97" i="1" s="1"/>
  <c r="AJ97" i="1" s="1"/>
  <c r="Q95" i="1"/>
  <c r="Q94" i="1"/>
  <c r="R94" i="1" s="1"/>
  <c r="Q92" i="1"/>
  <c r="S92" i="1" s="1"/>
  <c r="T92" i="1" s="1"/>
  <c r="AJ92" i="1" s="1"/>
  <c r="Q91" i="1"/>
  <c r="W91" i="1" s="1"/>
  <c r="Y91" i="1" s="1"/>
  <c r="Q90" i="1"/>
  <c r="S90" i="1" s="1"/>
  <c r="T90" i="1" s="1"/>
  <c r="AJ90" i="1" s="1"/>
  <c r="Q89" i="1"/>
  <c r="Q88" i="1"/>
  <c r="S88" i="1" s="1"/>
  <c r="T88" i="1" s="1"/>
  <c r="AJ88" i="1" s="1"/>
  <c r="Q87" i="1"/>
  <c r="W87" i="1" s="1"/>
  <c r="Y87" i="1" s="1"/>
  <c r="Q86" i="1"/>
  <c r="S86" i="1" s="1"/>
  <c r="T86" i="1" s="1"/>
  <c r="AJ86" i="1" s="1"/>
  <c r="Q85" i="1"/>
  <c r="Q84" i="1"/>
  <c r="W84" i="1" s="1"/>
  <c r="Q83" i="1"/>
  <c r="W83" i="1" s="1"/>
  <c r="Q82" i="1"/>
  <c r="S82" i="1" s="1"/>
  <c r="T82" i="1" s="1"/>
  <c r="Q80" i="1"/>
  <c r="W80" i="1" s="1"/>
  <c r="Q78" i="1"/>
  <c r="W78" i="1" s="1"/>
  <c r="Q77" i="1"/>
  <c r="W77" i="1" s="1"/>
  <c r="Q76" i="1"/>
  <c r="W76" i="1" s="1"/>
  <c r="Y76" i="1" s="1"/>
  <c r="Q74" i="1"/>
  <c r="S74" i="1" s="1"/>
  <c r="T74" i="1" s="1"/>
  <c r="AJ74" i="1" s="1"/>
  <c r="Q73" i="1"/>
  <c r="W73" i="1" s="1"/>
  <c r="Q72" i="1"/>
  <c r="W72" i="1" s="1"/>
  <c r="Q71" i="1"/>
  <c r="S71" i="1" s="1"/>
  <c r="T71" i="1" s="1"/>
  <c r="AJ71" i="1" s="1"/>
  <c r="Q70" i="1"/>
  <c r="R70" i="1" s="1"/>
  <c r="Q69" i="1"/>
  <c r="Q68" i="1"/>
  <c r="Q65" i="1"/>
  <c r="Q64" i="1"/>
  <c r="W64" i="1" s="1"/>
  <c r="Y64" i="1" s="1"/>
  <c r="Q63" i="1"/>
  <c r="W63" i="1" s="1"/>
  <c r="Y63" i="1" s="1"/>
  <c r="Q61" i="1"/>
  <c r="W61" i="1" s="1"/>
  <c r="Q59" i="1"/>
  <c r="S59" i="1" s="1"/>
  <c r="T59" i="1" s="1"/>
  <c r="AJ59" i="1" s="1"/>
  <c r="Q57" i="1"/>
  <c r="Q56" i="1"/>
  <c r="W56" i="1" s="1"/>
  <c r="Y56" i="1" s="1"/>
  <c r="Q55" i="1"/>
  <c r="S55" i="1" s="1"/>
  <c r="T55" i="1" s="1"/>
  <c r="AJ55" i="1" s="1"/>
  <c r="Q54" i="1"/>
  <c r="Q53" i="1"/>
  <c r="Q51" i="1"/>
  <c r="R51" i="1" s="1"/>
  <c r="Q50" i="1"/>
  <c r="W50" i="1" s="1"/>
  <c r="Q49" i="1"/>
  <c r="S49" i="1" s="1"/>
  <c r="T49" i="1" s="1"/>
  <c r="AJ49" i="1" s="1"/>
  <c r="Q48" i="1"/>
  <c r="Q47" i="1"/>
  <c r="S47" i="1" s="1"/>
  <c r="T47" i="1" s="1"/>
  <c r="AJ47" i="1" s="1"/>
  <c r="Q46" i="1"/>
  <c r="W46" i="1" s="1"/>
  <c r="Q43" i="1"/>
  <c r="S43" i="1" s="1"/>
  <c r="T43" i="1" s="1"/>
  <c r="AJ43" i="1" s="1"/>
  <c r="Q42" i="1"/>
  <c r="W42" i="1" s="1"/>
  <c r="Q41" i="1"/>
  <c r="S41" i="1" s="1"/>
  <c r="T41" i="1" s="1"/>
  <c r="AJ41" i="1" s="1"/>
  <c r="Q40" i="1"/>
  <c r="Q38" i="1"/>
  <c r="Q37" i="1"/>
  <c r="W37" i="1" s="1"/>
  <c r="Q36" i="1"/>
  <c r="S36" i="1" s="1"/>
  <c r="T36" i="1" s="1"/>
  <c r="AJ36" i="1" s="1"/>
  <c r="Q35" i="1"/>
  <c r="S35" i="1" s="1"/>
  <c r="T35" i="1" s="1"/>
  <c r="AJ35" i="1" s="1"/>
  <c r="Q34" i="1"/>
  <c r="Q33" i="1"/>
  <c r="W33" i="1" s="1"/>
  <c r="Y33" i="1" s="1"/>
  <c r="Q31" i="1"/>
  <c r="Q30" i="1"/>
  <c r="W30" i="1" s="1"/>
  <c r="Y30" i="1" s="1"/>
  <c r="Q29" i="1"/>
  <c r="W29" i="1" s="1"/>
  <c r="Y29" i="1" s="1"/>
  <c r="Q28" i="1"/>
  <c r="S28" i="1" s="1"/>
  <c r="T28" i="1" s="1"/>
  <c r="AJ28" i="1" s="1"/>
  <c r="Q27" i="1"/>
  <c r="Q26" i="1"/>
  <c r="W26" i="1" s="1"/>
  <c r="Y26" i="1" s="1"/>
  <c r="Q25" i="1"/>
  <c r="W25" i="1" s="1"/>
  <c r="Y25" i="1" s="1"/>
  <c r="Q24" i="1"/>
  <c r="S24" i="1" s="1"/>
  <c r="T24" i="1" s="1"/>
  <c r="AJ24" i="1" s="1"/>
  <c r="Q21" i="1"/>
  <c r="Q20" i="1"/>
  <c r="W20" i="1" s="1"/>
  <c r="Y20" i="1" s="1"/>
  <c r="Q19" i="1"/>
  <c r="Q18" i="1"/>
  <c r="S18" i="1" s="1"/>
  <c r="T18" i="1" s="1"/>
  <c r="AJ18" i="1" s="1"/>
  <c r="Q16" i="1"/>
  <c r="Q15" i="1"/>
  <c r="W15" i="1" s="1"/>
  <c r="Y15" i="1" s="1"/>
  <c r="Q14" i="1"/>
  <c r="R14" i="1" s="1"/>
  <c r="Q13" i="1"/>
  <c r="Q12" i="1"/>
  <c r="W12" i="1" s="1"/>
  <c r="Q11" i="1"/>
  <c r="W11" i="1" s="1"/>
  <c r="Y11" i="1" s="1"/>
  <c r="Q10" i="1"/>
  <c r="R10" i="1" s="1"/>
  <c r="Q9" i="1"/>
  <c r="Q7" i="1"/>
  <c r="R7" i="1" s="1"/>
  <c r="Q8" i="1"/>
  <c r="S8" i="1" s="1"/>
  <c r="M25" i="5" l="1"/>
  <c r="K24" i="5"/>
  <c r="L24" i="5" s="1"/>
  <c r="I24" i="5"/>
  <c r="N24" i="5" s="1"/>
  <c r="K23" i="5"/>
  <c r="L23" i="5" s="1"/>
  <c r="I23" i="5"/>
  <c r="N23" i="5" s="1"/>
  <c r="K36" i="5"/>
  <c r="S156" i="1"/>
  <c r="T156" i="1" s="1"/>
  <c r="AJ156" i="1" s="1"/>
  <c r="S128" i="1"/>
  <c r="T128" i="1" s="1"/>
  <c r="AJ128" i="1" s="1"/>
  <c r="R77" i="1"/>
  <c r="P6" i="1"/>
  <c r="P302" i="1" s="1"/>
  <c r="L22" i="5"/>
  <c r="Y46" i="1"/>
  <c r="Z46" i="1" s="1"/>
  <c r="Y83" i="1"/>
  <c r="Z83" i="1" s="1"/>
  <c r="S221" i="1"/>
  <c r="T221" i="1" s="1"/>
  <c r="S227" i="1"/>
  <c r="T227" i="1" s="1"/>
  <c r="AJ227" i="1" s="1"/>
  <c r="S231" i="1"/>
  <c r="T231" i="1" s="1"/>
  <c r="AJ231" i="1" s="1"/>
  <c r="S235" i="1"/>
  <c r="T235" i="1" s="1"/>
  <c r="AJ235" i="1" s="1"/>
  <c r="S244" i="1"/>
  <c r="T244" i="1" s="1"/>
  <c r="AJ244" i="1" s="1"/>
  <c r="S250" i="1"/>
  <c r="T250" i="1" s="1"/>
  <c r="AJ250" i="1" s="1"/>
  <c r="S255" i="1"/>
  <c r="T255" i="1" s="1"/>
  <c r="S264" i="1"/>
  <c r="T264" i="1" s="1"/>
  <c r="S268" i="1"/>
  <c r="T268" i="1" s="1"/>
  <c r="AJ268" i="1" s="1"/>
  <c r="S272" i="1"/>
  <c r="T272" i="1" s="1"/>
  <c r="AJ272" i="1" s="1"/>
  <c r="S277" i="1"/>
  <c r="T277" i="1" s="1"/>
  <c r="AJ277" i="1" s="1"/>
  <c r="S281" i="1"/>
  <c r="T281" i="1" s="1"/>
  <c r="AJ281" i="1" s="1"/>
  <c r="S64" i="1"/>
  <c r="T64" i="1" s="1"/>
  <c r="AJ64" i="1" s="1"/>
  <c r="AE78" i="1"/>
  <c r="AF78" i="1" s="1"/>
  <c r="Y78" i="1"/>
  <c r="Z78" i="1" s="1"/>
  <c r="Y84" i="1"/>
  <c r="Z84" i="1" s="1"/>
  <c r="Y140" i="1"/>
  <c r="Z140" i="1" s="1"/>
  <c r="Y149" i="1"/>
  <c r="Z149" i="1" s="1"/>
  <c r="X153" i="1"/>
  <c r="Y153" i="1"/>
  <c r="S220" i="1"/>
  <c r="T220" i="1" s="1"/>
  <c r="AJ220" i="1" s="1"/>
  <c r="S226" i="1"/>
  <c r="T226" i="1" s="1"/>
  <c r="AJ226" i="1" s="1"/>
  <c r="S230" i="1"/>
  <c r="T230" i="1" s="1"/>
  <c r="AJ230" i="1" s="1"/>
  <c r="S238" i="1"/>
  <c r="T238" i="1" s="1"/>
  <c r="AJ238" i="1" s="1"/>
  <c r="W243" i="1"/>
  <c r="AE243" i="1" s="1"/>
  <c r="AG243" i="1" s="1"/>
  <c r="S243" i="1"/>
  <c r="T243" i="1" s="1"/>
  <c r="AJ243" i="1" s="1"/>
  <c r="S247" i="1"/>
  <c r="T247" i="1" s="1"/>
  <c r="AJ247" i="1" s="1"/>
  <c r="S248" i="1"/>
  <c r="T248" i="1" s="1"/>
  <c r="AJ248" i="1" s="1"/>
  <c r="S254" i="1"/>
  <c r="T254" i="1" s="1"/>
  <c r="AJ254" i="1" s="1"/>
  <c r="S258" i="1"/>
  <c r="T258" i="1" s="1"/>
  <c r="AJ258" i="1" s="1"/>
  <c r="S263" i="1"/>
  <c r="T263" i="1" s="1"/>
  <c r="AJ263" i="1" s="1"/>
  <c r="S267" i="1"/>
  <c r="T267" i="1" s="1"/>
  <c r="AJ267" i="1" s="1"/>
  <c r="S271" i="1"/>
  <c r="T271" i="1" s="1"/>
  <c r="AJ271" i="1" s="1"/>
  <c r="S276" i="1"/>
  <c r="T276" i="1" s="1"/>
  <c r="AJ276" i="1" s="1"/>
  <c r="S280" i="1"/>
  <c r="T280" i="1" s="1"/>
  <c r="AJ280" i="1" s="1"/>
  <c r="S286" i="1"/>
  <c r="T286" i="1" s="1"/>
  <c r="AJ286" i="1" s="1"/>
  <c r="S290" i="1"/>
  <c r="T290" i="1" s="1"/>
  <c r="AJ290" i="1" s="1"/>
  <c r="S295" i="1"/>
  <c r="T295" i="1" s="1"/>
  <c r="AJ295" i="1" s="1"/>
  <c r="S300" i="1"/>
  <c r="T300" i="1" s="1"/>
  <c r="Y50" i="1"/>
  <c r="Z50" i="1" s="1"/>
  <c r="X61" i="1"/>
  <c r="Y61" i="1"/>
  <c r="Z61" i="1" s="1"/>
  <c r="Z60" i="1" s="1"/>
  <c r="Y141" i="1"/>
  <c r="Z141" i="1" s="1"/>
  <c r="W240" i="1"/>
  <c r="Y240" i="1" s="1"/>
  <c r="S240" i="1"/>
  <c r="T240" i="1" s="1"/>
  <c r="AJ240" i="1" s="1"/>
  <c r="S249" i="1"/>
  <c r="T249" i="1" s="1"/>
  <c r="AJ249" i="1" s="1"/>
  <c r="S259" i="1"/>
  <c r="T259" i="1" s="1"/>
  <c r="AJ259" i="1" s="1"/>
  <c r="S296" i="1"/>
  <c r="T296" i="1" s="1"/>
  <c r="AJ296" i="1" s="1"/>
  <c r="AE42" i="1"/>
  <c r="AF42" i="1" s="1"/>
  <c r="Y42" i="1"/>
  <c r="Z42" i="1" s="1"/>
  <c r="R63" i="1"/>
  <c r="X80" i="1"/>
  <c r="Y80" i="1"/>
  <c r="Z80" i="1" s="1"/>
  <c r="Z79" i="1" s="1"/>
  <c r="R110" i="1"/>
  <c r="S113" i="1"/>
  <c r="T113" i="1" s="1"/>
  <c r="AJ113" i="1" s="1"/>
  <c r="Y123" i="1"/>
  <c r="Z123" i="1" s="1"/>
  <c r="Y152" i="1"/>
  <c r="Z152" i="1" s="1"/>
  <c r="W215" i="1"/>
  <c r="S219" i="1"/>
  <c r="T219" i="1" s="1"/>
  <c r="AJ219" i="1" s="1"/>
  <c r="S225" i="1"/>
  <c r="T225" i="1" s="1"/>
  <c r="AJ225" i="1" s="1"/>
  <c r="S229" i="1"/>
  <c r="T229" i="1" s="1"/>
  <c r="AJ229" i="1" s="1"/>
  <c r="S233" i="1"/>
  <c r="T233" i="1" s="1"/>
  <c r="AJ233" i="1" s="1"/>
  <c r="S237" i="1"/>
  <c r="T237" i="1" s="1"/>
  <c r="AJ237" i="1" s="1"/>
  <c r="W242" i="1"/>
  <c r="Y242" i="1" s="1"/>
  <c r="Z242" i="1" s="1"/>
  <c r="S242" i="1"/>
  <c r="T242" i="1" s="1"/>
  <c r="AJ242" i="1" s="1"/>
  <c r="S246" i="1"/>
  <c r="T246" i="1" s="1"/>
  <c r="AJ246" i="1" s="1"/>
  <c r="R247" i="1"/>
  <c r="W249" i="1"/>
  <c r="X249" i="1" s="1"/>
  <c r="S252" i="1"/>
  <c r="T252" i="1" s="1"/>
  <c r="AJ252" i="1" s="1"/>
  <c r="S257" i="1"/>
  <c r="T257" i="1" s="1"/>
  <c r="AJ257" i="1" s="1"/>
  <c r="S261" i="1"/>
  <c r="T261" i="1" s="1"/>
  <c r="AJ261" i="1" s="1"/>
  <c r="S266" i="1"/>
  <c r="T266" i="1" s="1"/>
  <c r="AJ266" i="1" s="1"/>
  <c r="S270" i="1"/>
  <c r="T270" i="1" s="1"/>
  <c r="AJ270" i="1" s="1"/>
  <c r="S275" i="1"/>
  <c r="T275" i="1" s="1"/>
  <c r="AJ275" i="1" s="1"/>
  <c r="S279" i="1"/>
  <c r="T279" i="1" s="1"/>
  <c r="AJ279" i="1" s="1"/>
  <c r="S283" i="1"/>
  <c r="T283" i="1" s="1"/>
  <c r="AJ283" i="1" s="1"/>
  <c r="S289" i="1"/>
  <c r="T289" i="1" s="1"/>
  <c r="AJ289" i="1" s="1"/>
  <c r="S294" i="1"/>
  <c r="T294" i="1" s="1"/>
  <c r="AJ294" i="1" s="1"/>
  <c r="S298" i="1"/>
  <c r="T298" i="1" s="1"/>
  <c r="AJ298" i="1" s="1"/>
  <c r="AE73" i="1"/>
  <c r="AG73" i="1" s="1"/>
  <c r="Y73" i="1"/>
  <c r="S287" i="1"/>
  <c r="T287" i="1" s="1"/>
  <c r="AJ287" i="1" s="1"/>
  <c r="S292" i="1"/>
  <c r="T292" i="1" s="1"/>
  <c r="AJ292" i="1" s="1"/>
  <c r="Y12" i="1"/>
  <c r="Z12" i="1" s="1"/>
  <c r="S63" i="1"/>
  <c r="T63" i="1" s="1"/>
  <c r="AJ63" i="1" s="1"/>
  <c r="AE72" i="1"/>
  <c r="Y72" i="1"/>
  <c r="Y77" i="1"/>
  <c r="Z77" i="1" s="1"/>
  <c r="W144" i="1"/>
  <c r="Y144" i="1" s="1"/>
  <c r="Z144" i="1" s="1"/>
  <c r="R156" i="1"/>
  <c r="Y157" i="1"/>
  <c r="Z157" i="1" s="1"/>
  <c r="Y165" i="1"/>
  <c r="Z165" i="1" s="1"/>
  <c r="S222" i="1"/>
  <c r="T222" i="1" s="1"/>
  <c r="AJ222" i="1" s="1"/>
  <c r="S228" i="1"/>
  <c r="T228" i="1" s="1"/>
  <c r="AJ228" i="1" s="1"/>
  <c r="S232" i="1"/>
  <c r="T232" i="1" s="1"/>
  <c r="AJ232" i="1" s="1"/>
  <c r="S241" i="1"/>
  <c r="T241" i="1" s="1"/>
  <c r="AJ241" i="1" s="1"/>
  <c r="S245" i="1"/>
  <c r="T245" i="1" s="1"/>
  <c r="AJ245" i="1" s="1"/>
  <c r="S251" i="1"/>
  <c r="T251" i="1" s="1"/>
  <c r="AJ251" i="1" s="1"/>
  <c r="S256" i="1"/>
  <c r="T256" i="1" s="1"/>
  <c r="AJ256" i="1" s="1"/>
  <c r="S260" i="1"/>
  <c r="T260" i="1" s="1"/>
  <c r="AJ260" i="1" s="1"/>
  <c r="S265" i="1"/>
  <c r="T265" i="1" s="1"/>
  <c r="AJ265" i="1" s="1"/>
  <c r="S269" i="1"/>
  <c r="T269" i="1" s="1"/>
  <c r="AJ269" i="1" s="1"/>
  <c r="S273" i="1"/>
  <c r="T273" i="1" s="1"/>
  <c r="AJ273" i="1" s="1"/>
  <c r="S278" i="1"/>
  <c r="T278" i="1" s="1"/>
  <c r="AJ278" i="1" s="1"/>
  <c r="S282" i="1"/>
  <c r="T282" i="1" s="1"/>
  <c r="AJ282" i="1" s="1"/>
  <c r="S288" i="1"/>
  <c r="T288" i="1" s="1"/>
  <c r="AJ288" i="1" s="1"/>
  <c r="S293" i="1"/>
  <c r="T293" i="1" s="1"/>
  <c r="S297" i="1"/>
  <c r="T297" i="1" s="1"/>
  <c r="AJ297" i="1" s="1"/>
  <c r="V302" i="1"/>
  <c r="X37" i="1"/>
  <c r="Y37" i="1"/>
  <c r="Z37" i="1" s="1"/>
  <c r="S236" i="1"/>
  <c r="T236" i="1" s="1"/>
  <c r="AJ236" i="1" s="1"/>
  <c r="S234" i="1"/>
  <c r="T234" i="1" s="1"/>
  <c r="S50" i="1"/>
  <c r="T50" i="1" s="1"/>
  <c r="AJ50" i="1" s="1"/>
  <c r="R123" i="1"/>
  <c r="S123" i="1"/>
  <c r="T123" i="1" s="1"/>
  <c r="AJ123" i="1" s="1"/>
  <c r="S160" i="1"/>
  <c r="T160" i="1" s="1"/>
  <c r="AJ160" i="1" s="1"/>
  <c r="W207" i="1"/>
  <c r="W245" i="1"/>
  <c r="R251" i="1"/>
  <c r="S140" i="1"/>
  <c r="T140" i="1" s="1"/>
  <c r="AJ140" i="1" s="1"/>
  <c r="S141" i="1"/>
  <c r="T141" i="1" s="1"/>
  <c r="AJ141" i="1" s="1"/>
  <c r="R152" i="1"/>
  <c r="AE152" i="1"/>
  <c r="R243" i="1"/>
  <c r="R300" i="1"/>
  <c r="R42" i="1"/>
  <c r="S91" i="1"/>
  <c r="T91" i="1" s="1"/>
  <c r="AJ91" i="1" s="1"/>
  <c r="S103" i="1"/>
  <c r="T103" i="1" s="1"/>
  <c r="AJ103" i="1" s="1"/>
  <c r="S127" i="1"/>
  <c r="T127" i="1" s="1"/>
  <c r="AJ127" i="1" s="1"/>
  <c r="W147" i="1"/>
  <c r="S152" i="1"/>
  <c r="T152" i="1" s="1"/>
  <c r="AJ152" i="1" s="1"/>
  <c r="R56" i="1"/>
  <c r="R64" i="1"/>
  <c r="S72" i="1"/>
  <c r="T72" i="1" s="1"/>
  <c r="AJ72" i="1" s="1"/>
  <c r="S165" i="1"/>
  <c r="T165" i="1" s="1"/>
  <c r="AJ165" i="1" s="1"/>
  <c r="W211" i="1"/>
  <c r="X211" i="1" s="1"/>
  <c r="W97" i="1"/>
  <c r="X97" i="1" s="1"/>
  <c r="AE149" i="1"/>
  <c r="AG149" i="1" s="1"/>
  <c r="AH149" i="1" s="1"/>
  <c r="R25" i="1"/>
  <c r="R26" i="1"/>
  <c r="R29" i="1"/>
  <c r="R30" i="1"/>
  <c r="R46" i="1"/>
  <c r="S56" i="1"/>
  <c r="T56" i="1" s="1"/>
  <c r="AJ56" i="1" s="1"/>
  <c r="R87" i="1"/>
  <c r="R99" i="1"/>
  <c r="S109" i="1"/>
  <c r="T109" i="1" s="1"/>
  <c r="AJ109" i="1" s="1"/>
  <c r="S110" i="1"/>
  <c r="T110" i="1" s="1"/>
  <c r="AJ110" i="1" s="1"/>
  <c r="S122" i="1"/>
  <c r="T122" i="1" s="1"/>
  <c r="AJ122" i="1" s="1"/>
  <c r="W127" i="1"/>
  <c r="Y127" i="1" s="1"/>
  <c r="W128" i="1"/>
  <c r="Y128" i="1" s="1"/>
  <c r="Z128" i="1" s="1"/>
  <c r="W122" i="1"/>
  <c r="W114" i="1"/>
  <c r="W99" i="1"/>
  <c r="Y99" i="1" s="1"/>
  <c r="Z99" i="1" s="1"/>
  <c r="W10" i="1"/>
  <c r="AE10" i="1" s="1"/>
  <c r="W148" i="1"/>
  <c r="S149" i="1"/>
  <c r="T149" i="1" s="1"/>
  <c r="AJ149" i="1" s="1"/>
  <c r="R157" i="1"/>
  <c r="R164" i="1"/>
  <c r="W208" i="1"/>
  <c r="R210" i="1"/>
  <c r="W212" i="1"/>
  <c r="R214" i="1"/>
  <c r="W216" i="1"/>
  <c r="W247" i="1"/>
  <c r="S25" i="1"/>
  <c r="T25" i="1" s="1"/>
  <c r="AJ25" i="1" s="1"/>
  <c r="S26" i="1"/>
  <c r="T26" i="1" s="1"/>
  <c r="AJ26" i="1" s="1"/>
  <c r="S29" i="1"/>
  <c r="T29" i="1" s="1"/>
  <c r="AJ29" i="1" s="1"/>
  <c r="S30" i="1"/>
  <c r="T30" i="1" s="1"/>
  <c r="AJ30" i="1" s="1"/>
  <c r="S46" i="1"/>
  <c r="T46" i="1" s="1"/>
  <c r="AJ46" i="1" s="1"/>
  <c r="S87" i="1"/>
  <c r="T87" i="1" s="1"/>
  <c r="AJ87" i="1" s="1"/>
  <c r="S119" i="1"/>
  <c r="T119" i="1" s="1"/>
  <c r="AJ119" i="1" s="1"/>
  <c r="W119" i="1"/>
  <c r="X119" i="1" s="1"/>
  <c r="W7" i="1"/>
  <c r="AE7" i="1" s="1"/>
  <c r="W139" i="1"/>
  <c r="R140" i="1"/>
  <c r="S153" i="1"/>
  <c r="T153" i="1" s="1"/>
  <c r="AJ153" i="1" s="1"/>
  <c r="S157" i="1"/>
  <c r="T157" i="1" s="1"/>
  <c r="AJ157" i="1" s="1"/>
  <c r="W248" i="1"/>
  <c r="W300" i="1"/>
  <c r="R37" i="1"/>
  <c r="R76" i="1"/>
  <c r="R83" i="1"/>
  <c r="R103" i="1"/>
  <c r="S118" i="1"/>
  <c r="T118" i="1" s="1"/>
  <c r="AJ118" i="1" s="1"/>
  <c r="W118" i="1"/>
  <c r="X118" i="1" s="1"/>
  <c r="W71" i="1"/>
  <c r="AE141" i="1"/>
  <c r="W210" i="1"/>
  <c r="W214" i="1"/>
  <c r="X214" i="1" s="1"/>
  <c r="Z26" i="1"/>
  <c r="AE26" i="1"/>
  <c r="X26" i="1"/>
  <c r="AJ82" i="1"/>
  <c r="AE109" i="1"/>
  <c r="Z109" i="1"/>
  <c r="AE63" i="1"/>
  <c r="Z63" i="1"/>
  <c r="Z64" i="1"/>
  <c r="X64" i="1"/>
  <c r="AE64" i="1"/>
  <c r="AG64" i="1" s="1"/>
  <c r="Z20" i="1"/>
  <c r="AE20" i="1"/>
  <c r="AG20" i="1" s="1"/>
  <c r="X20" i="1"/>
  <c r="Z103" i="1"/>
  <c r="X103" i="1"/>
  <c r="AE103" i="1"/>
  <c r="AG103" i="1" s="1"/>
  <c r="Z30" i="1"/>
  <c r="AE30" i="1"/>
  <c r="X30" i="1"/>
  <c r="Z11" i="1"/>
  <c r="X11" i="1"/>
  <c r="AE11" i="1"/>
  <c r="AG11" i="1" s="1"/>
  <c r="Z15" i="1"/>
  <c r="X15" i="1"/>
  <c r="AE15" i="1"/>
  <c r="AG15" i="1" s="1"/>
  <c r="Z110" i="1"/>
  <c r="X110" i="1"/>
  <c r="AE110" i="1"/>
  <c r="AG110" i="1" s="1"/>
  <c r="S34" i="1"/>
  <c r="T34" i="1" s="1"/>
  <c r="AJ34" i="1" s="1"/>
  <c r="W34" i="1"/>
  <c r="AE34" i="1" s="1"/>
  <c r="S69" i="1"/>
  <c r="T69" i="1" s="1"/>
  <c r="AJ69" i="1" s="1"/>
  <c r="W69" i="1"/>
  <c r="Y69" i="1" s="1"/>
  <c r="R98" i="1"/>
  <c r="W98" i="1"/>
  <c r="Y98" i="1" s="1"/>
  <c r="W94" i="1"/>
  <c r="Y94" i="1" s="1"/>
  <c r="W161" i="1"/>
  <c r="AE161" i="1" s="1"/>
  <c r="S161" i="1"/>
  <c r="T161" i="1" s="1"/>
  <c r="AJ161" i="1" s="1"/>
  <c r="R161" i="1"/>
  <c r="AE240" i="1"/>
  <c r="Z240" i="1"/>
  <c r="X240" i="1"/>
  <c r="R11" i="1"/>
  <c r="S14" i="1"/>
  <c r="T14" i="1" s="1"/>
  <c r="AJ14" i="1" s="1"/>
  <c r="R16" i="1"/>
  <c r="W16" i="1"/>
  <c r="AE16" i="1" s="1"/>
  <c r="R19" i="1"/>
  <c r="W19" i="1"/>
  <c r="Y19" i="1" s="1"/>
  <c r="S21" i="1"/>
  <c r="T21" i="1" s="1"/>
  <c r="AJ21" i="1" s="1"/>
  <c r="W21" i="1"/>
  <c r="X21" i="1" s="1"/>
  <c r="R33" i="1"/>
  <c r="S37" i="1"/>
  <c r="T37" i="1" s="1"/>
  <c r="AJ37" i="1" s="1"/>
  <c r="S42" i="1"/>
  <c r="T42" i="1" s="1"/>
  <c r="AJ42" i="1" s="1"/>
  <c r="X50" i="1"/>
  <c r="AE50" i="1"/>
  <c r="AG50" i="1" s="1"/>
  <c r="S54" i="1"/>
  <c r="T54" i="1" s="1"/>
  <c r="AJ54" i="1" s="1"/>
  <c r="W54" i="1"/>
  <c r="R68" i="1"/>
  <c r="W68" i="1"/>
  <c r="R69" i="1"/>
  <c r="S76" i="1"/>
  <c r="T76" i="1" s="1"/>
  <c r="S83" i="1"/>
  <c r="T83" i="1" s="1"/>
  <c r="AJ83" i="1" s="1"/>
  <c r="S85" i="1"/>
  <c r="T85" i="1" s="1"/>
  <c r="AJ85" i="1" s="1"/>
  <c r="W85" i="1"/>
  <c r="AE85" i="1" s="1"/>
  <c r="X91" i="1"/>
  <c r="AE91" i="1"/>
  <c r="AG91" i="1" s="1"/>
  <c r="S98" i="1"/>
  <c r="T98" i="1" s="1"/>
  <c r="S106" i="1"/>
  <c r="T106" i="1" s="1"/>
  <c r="W106" i="1"/>
  <c r="S111" i="1"/>
  <c r="T111" i="1" s="1"/>
  <c r="AJ111" i="1" s="1"/>
  <c r="W111" i="1"/>
  <c r="R124" i="1"/>
  <c r="W124" i="1"/>
  <c r="X124" i="1" s="1"/>
  <c r="R131" i="1"/>
  <c r="R132" i="1"/>
  <c r="R135" i="1"/>
  <c r="R136" i="1"/>
  <c r="Z127" i="1"/>
  <c r="W129" i="1"/>
  <c r="W121" i="1"/>
  <c r="AE121" i="1" s="1"/>
  <c r="X123" i="1"/>
  <c r="W113" i="1"/>
  <c r="Y113" i="1" s="1"/>
  <c r="W88" i="1"/>
  <c r="W92" i="1"/>
  <c r="W70" i="1"/>
  <c r="AE70" i="1" s="1"/>
  <c r="X140" i="1"/>
  <c r="AE33" i="1"/>
  <c r="Z33" i="1"/>
  <c r="R36" i="1"/>
  <c r="W36" i="1"/>
  <c r="Y36" i="1" s="1"/>
  <c r="R41" i="1"/>
  <c r="W41" i="1"/>
  <c r="Y41" i="1" s="1"/>
  <c r="S48" i="1"/>
  <c r="T48" i="1" s="1"/>
  <c r="AJ48" i="1" s="1"/>
  <c r="W48" i="1"/>
  <c r="X48" i="1" s="1"/>
  <c r="R82" i="1"/>
  <c r="W82" i="1"/>
  <c r="Y82" i="1" s="1"/>
  <c r="S89" i="1"/>
  <c r="T89" i="1" s="1"/>
  <c r="AJ89" i="1" s="1"/>
  <c r="W89" i="1"/>
  <c r="S115" i="1"/>
  <c r="T115" i="1" s="1"/>
  <c r="AJ115" i="1" s="1"/>
  <c r="W115" i="1"/>
  <c r="W126" i="1"/>
  <c r="X126" i="1" s="1"/>
  <c r="AE123" i="1"/>
  <c r="AG123" i="1" s="1"/>
  <c r="W28" i="1"/>
  <c r="Y28" i="1" s="1"/>
  <c r="T8" i="1"/>
  <c r="AJ8" i="1" s="1"/>
  <c r="W8" i="1"/>
  <c r="AE8" i="1" s="1"/>
  <c r="S10" i="1"/>
  <c r="T10" i="1" s="1"/>
  <c r="AJ10" i="1" s="1"/>
  <c r="S11" i="1"/>
  <c r="T11" i="1" s="1"/>
  <c r="AJ11" i="1" s="1"/>
  <c r="S13" i="1"/>
  <c r="T13" i="1" s="1"/>
  <c r="AJ13" i="1" s="1"/>
  <c r="W13" i="1"/>
  <c r="Z25" i="1"/>
  <c r="X25" i="1"/>
  <c r="AE25" i="1"/>
  <c r="AG25" i="1" s="1"/>
  <c r="R27" i="1"/>
  <c r="W27" i="1"/>
  <c r="AE27" i="1" s="1"/>
  <c r="Z29" i="1"/>
  <c r="X29" i="1"/>
  <c r="AE29" i="1"/>
  <c r="AG29" i="1" s="1"/>
  <c r="R31" i="1"/>
  <c r="W31" i="1"/>
  <c r="X31" i="1" s="1"/>
  <c r="S33" i="1"/>
  <c r="T33" i="1" s="1"/>
  <c r="S40" i="1"/>
  <c r="T40" i="1" s="1"/>
  <c r="W40" i="1"/>
  <c r="Y40" i="1" s="1"/>
  <c r="X46" i="1"/>
  <c r="AE46" i="1"/>
  <c r="AG46" i="1" s="1"/>
  <c r="R49" i="1"/>
  <c r="W49" i="1"/>
  <c r="Y49" i="1" s="1"/>
  <c r="R50" i="1"/>
  <c r="Z56" i="1"/>
  <c r="X56" i="1"/>
  <c r="AE56" i="1"/>
  <c r="AG56" i="1" s="1"/>
  <c r="S57" i="1"/>
  <c r="T57" i="1" s="1"/>
  <c r="AJ57" i="1" s="1"/>
  <c r="W57" i="1"/>
  <c r="T58" i="1"/>
  <c r="R65" i="1"/>
  <c r="W65" i="1"/>
  <c r="AE65" i="1" s="1"/>
  <c r="S68" i="1"/>
  <c r="T68" i="1" s="1"/>
  <c r="R72" i="1"/>
  <c r="R73" i="1"/>
  <c r="X87" i="1"/>
  <c r="AE87" i="1"/>
  <c r="AG87" i="1" s="1"/>
  <c r="R90" i="1"/>
  <c r="W90" i="1"/>
  <c r="Y90" i="1" s="1"/>
  <c r="R91" i="1"/>
  <c r="R104" i="1"/>
  <c r="W104" i="1"/>
  <c r="R109" i="1"/>
  <c r="S131" i="1"/>
  <c r="T131" i="1" s="1"/>
  <c r="S132" i="1"/>
  <c r="T132" i="1" s="1"/>
  <c r="AJ132" i="1" s="1"/>
  <c r="S135" i="1"/>
  <c r="T135" i="1" s="1"/>
  <c r="AJ135" i="1" s="1"/>
  <c r="S136" i="1"/>
  <c r="T136" i="1" s="1"/>
  <c r="AJ136" i="1" s="1"/>
  <c r="W120" i="1"/>
  <c r="AE120" i="1" s="1"/>
  <c r="W101" i="1"/>
  <c r="Y101" i="1" s="1"/>
  <c r="Z87" i="1"/>
  <c r="Z91" i="1"/>
  <c r="X73" i="1"/>
  <c r="W74" i="1"/>
  <c r="X33" i="1"/>
  <c r="W24" i="1"/>
  <c r="Y24" i="1" s="1"/>
  <c r="W18" i="1"/>
  <c r="Y18" i="1" s="1"/>
  <c r="S9" i="1"/>
  <c r="T9" i="1" s="1"/>
  <c r="AJ9" i="1" s="1"/>
  <c r="W9" i="1"/>
  <c r="AE37" i="1"/>
  <c r="AG37" i="1" s="1"/>
  <c r="R38" i="1"/>
  <c r="W38" i="1"/>
  <c r="S53" i="1"/>
  <c r="T53" i="1" s="1"/>
  <c r="W53" i="1"/>
  <c r="R55" i="1"/>
  <c r="W55" i="1"/>
  <c r="AE76" i="1"/>
  <c r="Z76" i="1"/>
  <c r="X77" i="1"/>
  <c r="AE77" i="1"/>
  <c r="AG77" i="1" s="1"/>
  <c r="X83" i="1"/>
  <c r="AE83" i="1"/>
  <c r="R86" i="1"/>
  <c r="W86" i="1"/>
  <c r="Y86" i="1" s="1"/>
  <c r="S95" i="1"/>
  <c r="T95" i="1" s="1"/>
  <c r="AJ95" i="1" s="1"/>
  <c r="W95" i="1"/>
  <c r="R100" i="1"/>
  <c r="W100" i="1"/>
  <c r="R102" i="1"/>
  <c r="W102" i="1"/>
  <c r="Y102" i="1" s="1"/>
  <c r="S108" i="1"/>
  <c r="T108" i="1" s="1"/>
  <c r="AJ108" i="1" s="1"/>
  <c r="W108" i="1"/>
  <c r="AE108" i="1" s="1"/>
  <c r="S112" i="1"/>
  <c r="T112" i="1" s="1"/>
  <c r="AJ112" i="1" s="1"/>
  <c r="W112" i="1"/>
  <c r="Z72" i="1"/>
  <c r="Z73" i="1"/>
  <c r="W59" i="1"/>
  <c r="X59" i="1" s="1"/>
  <c r="W47" i="1"/>
  <c r="W51" i="1"/>
  <c r="X51" i="1" s="1"/>
  <c r="W43" i="1"/>
  <c r="X43" i="1" s="1"/>
  <c r="W35" i="1"/>
  <c r="AE35" i="1" s="1"/>
  <c r="W14" i="1"/>
  <c r="W145" i="1"/>
  <c r="S145" i="1"/>
  <c r="T145" i="1" s="1"/>
  <c r="AJ145" i="1" s="1"/>
  <c r="AJ139" i="1"/>
  <c r="R139" i="1"/>
  <c r="R144" i="1"/>
  <c r="R148" i="1"/>
  <c r="S155" i="1"/>
  <c r="T155" i="1" s="1"/>
  <c r="AJ155" i="1" s="1"/>
  <c r="W155" i="1"/>
  <c r="R155" i="1"/>
  <c r="Z156" i="1"/>
  <c r="X156" i="1"/>
  <c r="Z153" i="1"/>
  <c r="W160" i="1"/>
  <c r="S164" i="1"/>
  <c r="T164" i="1" s="1"/>
  <c r="AJ164" i="1" s="1"/>
  <c r="X165" i="1"/>
  <c r="X242" i="1"/>
  <c r="R147" i="1"/>
  <c r="R207" i="1"/>
  <c r="W209" i="1"/>
  <c r="Y209" i="1" s="1"/>
  <c r="R211" i="1"/>
  <c r="W213" i="1"/>
  <c r="R215" i="1"/>
  <c r="R240" i="1"/>
  <c r="R242" i="1"/>
  <c r="W246" i="1"/>
  <c r="Y246" i="1" s="1"/>
  <c r="R248" i="1"/>
  <c r="W250" i="1"/>
  <c r="T206" i="1"/>
  <c r="W241" i="1"/>
  <c r="Y241" i="1" s="1"/>
  <c r="R301" i="1"/>
  <c r="R209" i="1"/>
  <c r="R213" i="1"/>
  <c r="R217" i="1"/>
  <c r="R241" i="1"/>
  <c r="R244" i="1"/>
  <c r="W244" i="1"/>
  <c r="Y244" i="1" s="1"/>
  <c r="R246" i="1"/>
  <c r="R250" i="1"/>
  <c r="R208" i="1"/>
  <c r="R212" i="1"/>
  <c r="R216" i="1"/>
  <c r="R245" i="1"/>
  <c r="R249" i="1"/>
  <c r="W301" i="1"/>
  <c r="Y301" i="1" s="1"/>
  <c r="R292" i="1"/>
  <c r="W292" i="1"/>
  <c r="Y292" i="1" s="1"/>
  <c r="R293" i="1"/>
  <c r="W293" i="1"/>
  <c r="Y293" i="1" s="1"/>
  <c r="R294" i="1"/>
  <c r="W294" i="1"/>
  <c r="Y294" i="1" s="1"/>
  <c r="R295" i="1"/>
  <c r="W295" i="1"/>
  <c r="Y295" i="1" s="1"/>
  <c r="R296" i="1"/>
  <c r="W296" i="1"/>
  <c r="Y296" i="1" s="1"/>
  <c r="R297" i="1"/>
  <c r="W297" i="1"/>
  <c r="Y297" i="1" s="1"/>
  <c r="R298" i="1"/>
  <c r="W298" i="1"/>
  <c r="Y298" i="1" s="1"/>
  <c r="R286" i="1"/>
  <c r="W286" i="1"/>
  <c r="Y286" i="1" s="1"/>
  <c r="R287" i="1"/>
  <c r="W287" i="1"/>
  <c r="Y287" i="1" s="1"/>
  <c r="R288" i="1"/>
  <c r="W288" i="1"/>
  <c r="Y288" i="1" s="1"/>
  <c r="R289" i="1"/>
  <c r="W289" i="1"/>
  <c r="Y289" i="1" s="1"/>
  <c r="R290" i="1"/>
  <c r="W290" i="1"/>
  <c r="Y290" i="1" s="1"/>
  <c r="R275" i="1"/>
  <c r="W275" i="1"/>
  <c r="Y275" i="1" s="1"/>
  <c r="R276" i="1"/>
  <c r="W276" i="1"/>
  <c r="Y276" i="1" s="1"/>
  <c r="R277" i="1"/>
  <c r="W277" i="1"/>
  <c r="Y277" i="1" s="1"/>
  <c r="R278" i="1"/>
  <c r="W278" i="1"/>
  <c r="Y278" i="1" s="1"/>
  <c r="R279" i="1"/>
  <c r="W279" i="1"/>
  <c r="Y279" i="1" s="1"/>
  <c r="R280" i="1"/>
  <c r="W280" i="1"/>
  <c r="Y280" i="1" s="1"/>
  <c r="R281" i="1"/>
  <c r="W281" i="1"/>
  <c r="Y281" i="1" s="1"/>
  <c r="R282" i="1"/>
  <c r="W282" i="1"/>
  <c r="Y282" i="1" s="1"/>
  <c r="R283" i="1"/>
  <c r="W283" i="1"/>
  <c r="Y283" i="1" s="1"/>
  <c r="R263" i="1"/>
  <c r="W263" i="1"/>
  <c r="Y263" i="1" s="1"/>
  <c r="R264" i="1"/>
  <c r="W264" i="1"/>
  <c r="Y264" i="1" s="1"/>
  <c r="R265" i="1"/>
  <c r="W265" i="1"/>
  <c r="Y265" i="1" s="1"/>
  <c r="R266" i="1"/>
  <c r="W266" i="1"/>
  <c r="Y266" i="1" s="1"/>
  <c r="R267" i="1"/>
  <c r="W267" i="1"/>
  <c r="Y267" i="1" s="1"/>
  <c r="R268" i="1"/>
  <c r="W268" i="1"/>
  <c r="Y268" i="1" s="1"/>
  <c r="R269" i="1"/>
  <c r="W269" i="1"/>
  <c r="Y269" i="1" s="1"/>
  <c r="R270" i="1"/>
  <c r="W270" i="1"/>
  <c r="Y270" i="1" s="1"/>
  <c r="R271" i="1"/>
  <c r="W271" i="1"/>
  <c r="Y271" i="1" s="1"/>
  <c r="R272" i="1"/>
  <c r="W272" i="1"/>
  <c r="Y272" i="1" s="1"/>
  <c r="R273" i="1"/>
  <c r="W273" i="1"/>
  <c r="Y273" i="1" s="1"/>
  <c r="R254" i="1"/>
  <c r="W254" i="1"/>
  <c r="Y254" i="1" s="1"/>
  <c r="R255" i="1"/>
  <c r="W255" i="1"/>
  <c r="Y255" i="1" s="1"/>
  <c r="R256" i="1"/>
  <c r="W256" i="1"/>
  <c r="Y256" i="1" s="1"/>
  <c r="R257" i="1"/>
  <c r="W257" i="1"/>
  <c r="Y257" i="1" s="1"/>
  <c r="R258" i="1"/>
  <c r="W258" i="1"/>
  <c r="Y258" i="1" s="1"/>
  <c r="R259" i="1"/>
  <c r="W259" i="1"/>
  <c r="Y259" i="1" s="1"/>
  <c r="R260" i="1"/>
  <c r="W260" i="1"/>
  <c r="Y260" i="1" s="1"/>
  <c r="R261" i="1"/>
  <c r="W261" i="1"/>
  <c r="Y261" i="1" s="1"/>
  <c r="W251" i="1"/>
  <c r="Y251" i="1" s="1"/>
  <c r="R252" i="1"/>
  <c r="W252" i="1"/>
  <c r="Y252" i="1" s="1"/>
  <c r="X245" i="1"/>
  <c r="X247" i="1"/>
  <c r="R225" i="1"/>
  <c r="W225" i="1"/>
  <c r="Y225" i="1" s="1"/>
  <c r="R226" i="1"/>
  <c r="W226" i="1"/>
  <c r="Y226" i="1" s="1"/>
  <c r="R227" i="1"/>
  <c r="W227" i="1"/>
  <c r="Y227" i="1" s="1"/>
  <c r="R228" i="1"/>
  <c r="W228" i="1"/>
  <c r="Y228" i="1" s="1"/>
  <c r="R229" i="1"/>
  <c r="W229" i="1"/>
  <c r="Y229" i="1" s="1"/>
  <c r="R230" i="1"/>
  <c r="W230" i="1"/>
  <c r="Y230" i="1" s="1"/>
  <c r="R231" i="1"/>
  <c r="W231" i="1"/>
  <c r="Y231" i="1" s="1"/>
  <c r="R232" i="1"/>
  <c r="W232" i="1"/>
  <c r="Y232" i="1" s="1"/>
  <c r="R233" i="1"/>
  <c r="W233" i="1"/>
  <c r="Y233" i="1" s="1"/>
  <c r="R234" i="1"/>
  <c r="W234" i="1"/>
  <c r="Y234" i="1" s="1"/>
  <c r="R235" i="1"/>
  <c r="W235" i="1"/>
  <c r="Y235" i="1" s="1"/>
  <c r="R236" i="1"/>
  <c r="W236" i="1"/>
  <c r="Y236" i="1" s="1"/>
  <c r="R237" i="1"/>
  <c r="W237" i="1"/>
  <c r="Y237" i="1" s="1"/>
  <c r="R238" i="1"/>
  <c r="W238" i="1"/>
  <c r="Y238" i="1" s="1"/>
  <c r="R219" i="1"/>
  <c r="W219" i="1"/>
  <c r="Y219" i="1" s="1"/>
  <c r="R220" i="1"/>
  <c r="W220" i="1"/>
  <c r="Y220" i="1" s="1"/>
  <c r="R221" i="1"/>
  <c r="W221" i="1"/>
  <c r="Y221" i="1" s="1"/>
  <c r="R222" i="1"/>
  <c r="W222" i="1"/>
  <c r="Y222" i="1" s="1"/>
  <c r="W217" i="1"/>
  <c r="Y217" i="1" s="1"/>
  <c r="X215" i="1"/>
  <c r="S195" i="1"/>
  <c r="T195" i="1" s="1"/>
  <c r="AJ195" i="1" s="1"/>
  <c r="W195" i="1"/>
  <c r="Y195" i="1" s="1"/>
  <c r="R195" i="1"/>
  <c r="S199" i="1"/>
  <c r="T199" i="1" s="1"/>
  <c r="AJ199" i="1" s="1"/>
  <c r="W199" i="1"/>
  <c r="Y199" i="1" s="1"/>
  <c r="R199" i="1"/>
  <c r="S194" i="1"/>
  <c r="T194" i="1" s="1"/>
  <c r="AJ194" i="1" s="1"/>
  <c r="W194" i="1"/>
  <c r="Y194" i="1" s="1"/>
  <c r="R194" i="1"/>
  <c r="W186" i="1"/>
  <c r="Y186" i="1" s="1"/>
  <c r="R186" i="1"/>
  <c r="W187" i="1"/>
  <c r="Y187" i="1" s="1"/>
  <c r="R187" i="1"/>
  <c r="W188" i="1"/>
  <c r="Y188" i="1" s="1"/>
  <c r="R188" i="1"/>
  <c r="S189" i="1"/>
  <c r="T189" i="1" s="1"/>
  <c r="AJ189" i="1" s="1"/>
  <c r="W189" i="1"/>
  <c r="Y189" i="1" s="1"/>
  <c r="R189" i="1"/>
  <c r="S193" i="1"/>
  <c r="T193" i="1" s="1"/>
  <c r="AJ193" i="1" s="1"/>
  <c r="W193" i="1"/>
  <c r="Y193" i="1" s="1"/>
  <c r="R193" i="1"/>
  <c r="S197" i="1"/>
  <c r="T197" i="1" s="1"/>
  <c r="AJ197" i="1" s="1"/>
  <c r="W197" i="1"/>
  <c r="Y197" i="1" s="1"/>
  <c r="R197" i="1"/>
  <c r="S201" i="1"/>
  <c r="T201" i="1" s="1"/>
  <c r="AJ201" i="1" s="1"/>
  <c r="W201" i="1"/>
  <c r="Y201" i="1" s="1"/>
  <c r="R201" i="1"/>
  <c r="S191" i="1"/>
  <c r="T191" i="1" s="1"/>
  <c r="AJ191" i="1" s="1"/>
  <c r="W191" i="1"/>
  <c r="Y191" i="1" s="1"/>
  <c r="R191" i="1"/>
  <c r="S203" i="1"/>
  <c r="T203" i="1" s="1"/>
  <c r="AJ203" i="1" s="1"/>
  <c r="W203" i="1"/>
  <c r="Y203" i="1" s="1"/>
  <c r="R203" i="1"/>
  <c r="S190" i="1"/>
  <c r="T190" i="1" s="1"/>
  <c r="AJ190" i="1" s="1"/>
  <c r="W190" i="1"/>
  <c r="Y190" i="1" s="1"/>
  <c r="R190" i="1"/>
  <c r="S198" i="1"/>
  <c r="T198" i="1" s="1"/>
  <c r="AJ198" i="1" s="1"/>
  <c r="W198" i="1"/>
  <c r="Y198" i="1" s="1"/>
  <c r="R198" i="1"/>
  <c r="S202" i="1"/>
  <c r="T202" i="1" s="1"/>
  <c r="AJ202" i="1" s="1"/>
  <c r="W202" i="1"/>
  <c r="Y202" i="1" s="1"/>
  <c r="R202" i="1"/>
  <c r="S186" i="1"/>
  <c r="T186" i="1" s="1"/>
  <c r="S187" i="1"/>
  <c r="T187" i="1" s="1"/>
  <c r="AJ187" i="1" s="1"/>
  <c r="S188" i="1"/>
  <c r="T188" i="1" s="1"/>
  <c r="AJ188" i="1" s="1"/>
  <c r="S192" i="1"/>
  <c r="T192" i="1" s="1"/>
  <c r="AJ192" i="1" s="1"/>
  <c r="W192" i="1"/>
  <c r="Y192" i="1" s="1"/>
  <c r="R192" i="1"/>
  <c r="S196" i="1"/>
  <c r="T196" i="1" s="1"/>
  <c r="AJ196" i="1" s="1"/>
  <c r="W196" i="1"/>
  <c r="Y196" i="1" s="1"/>
  <c r="R196" i="1"/>
  <c r="S200" i="1"/>
  <c r="T200" i="1" s="1"/>
  <c r="AJ200" i="1" s="1"/>
  <c r="W200" i="1"/>
  <c r="Y200" i="1" s="1"/>
  <c r="R200" i="1"/>
  <c r="R204" i="1"/>
  <c r="W204" i="1"/>
  <c r="Y204" i="1" s="1"/>
  <c r="R205" i="1"/>
  <c r="W205" i="1"/>
  <c r="Y205" i="1" s="1"/>
  <c r="Z167" i="1"/>
  <c r="AE167" i="1"/>
  <c r="AG167" i="1" s="1"/>
  <c r="X167" i="1"/>
  <c r="S174" i="1"/>
  <c r="T174" i="1" s="1"/>
  <c r="AJ174" i="1" s="1"/>
  <c r="W174" i="1"/>
  <c r="Y174" i="1" s="1"/>
  <c r="R174" i="1"/>
  <c r="S182" i="1"/>
  <c r="T182" i="1" s="1"/>
  <c r="AJ182" i="1" s="1"/>
  <c r="W182" i="1"/>
  <c r="Y182" i="1" s="1"/>
  <c r="R182" i="1"/>
  <c r="R167" i="1"/>
  <c r="S169" i="1"/>
  <c r="T169" i="1" s="1"/>
  <c r="AJ169" i="1" s="1"/>
  <c r="W169" i="1"/>
  <c r="Y169" i="1" s="1"/>
  <c r="R169" i="1"/>
  <c r="S167" i="1"/>
  <c r="T167" i="1" s="1"/>
  <c r="S172" i="1"/>
  <c r="T172" i="1" s="1"/>
  <c r="AJ172" i="1" s="1"/>
  <c r="W172" i="1"/>
  <c r="Y172" i="1" s="1"/>
  <c r="R172" i="1"/>
  <c r="S176" i="1"/>
  <c r="T176" i="1" s="1"/>
  <c r="AJ176" i="1" s="1"/>
  <c r="W176" i="1"/>
  <c r="Y176" i="1" s="1"/>
  <c r="R176" i="1"/>
  <c r="S180" i="1"/>
  <c r="T180" i="1" s="1"/>
  <c r="AJ180" i="1" s="1"/>
  <c r="W180" i="1"/>
  <c r="Y180" i="1" s="1"/>
  <c r="R180" i="1"/>
  <c r="S184" i="1"/>
  <c r="T184" i="1" s="1"/>
  <c r="AJ184" i="1" s="1"/>
  <c r="W184" i="1"/>
  <c r="Y184" i="1" s="1"/>
  <c r="R184" i="1"/>
  <c r="W168" i="1"/>
  <c r="Y168" i="1" s="1"/>
  <c r="S170" i="1"/>
  <c r="T170" i="1" s="1"/>
  <c r="AJ170" i="1" s="1"/>
  <c r="W170" i="1"/>
  <c r="Y170" i="1" s="1"/>
  <c r="R170" i="1"/>
  <c r="S178" i="1"/>
  <c r="T178" i="1" s="1"/>
  <c r="AJ178" i="1" s="1"/>
  <c r="W178" i="1"/>
  <c r="Y178" i="1" s="1"/>
  <c r="R178" i="1"/>
  <c r="R168" i="1"/>
  <c r="S173" i="1"/>
  <c r="T173" i="1" s="1"/>
  <c r="AJ173" i="1" s="1"/>
  <c r="W173" i="1"/>
  <c r="Y173" i="1" s="1"/>
  <c r="R173" i="1"/>
  <c r="S177" i="1"/>
  <c r="T177" i="1" s="1"/>
  <c r="AJ177" i="1" s="1"/>
  <c r="W177" i="1"/>
  <c r="Y177" i="1" s="1"/>
  <c r="R177" i="1"/>
  <c r="S181" i="1"/>
  <c r="T181" i="1" s="1"/>
  <c r="AJ181" i="1" s="1"/>
  <c r="W181" i="1"/>
  <c r="Y181" i="1" s="1"/>
  <c r="R181" i="1"/>
  <c r="S171" i="1"/>
  <c r="T171" i="1" s="1"/>
  <c r="AJ171" i="1" s="1"/>
  <c r="W171" i="1"/>
  <c r="Y171" i="1" s="1"/>
  <c r="R171" i="1"/>
  <c r="S175" i="1"/>
  <c r="T175" i="1" s="1"/>
  <c r="AJ175" i="1" s="1"/>
  <c r="W175" i="1"/>
  <c r="Y175" i="1" s="1"/>
  <c r="R175" i="1"/>
  <c r="S179" i="1"/>
  <c r="T179" i="1" s="1"/>
  <c r="AJ179" i="1" s="1"/>
  <c r="W179" i="1"/>
  <c r="Y179" i="1" s="1"/>
  <c r="R179" i="1"/>
  <c r="S183" i="1"/>
  <c r="T183" i="1" s="1"/>
  <c r="AJ183" i="1" s="1"/>
  <c r="W183" i="1"/>
  <c r="Y183" i="1" s="1"/>
  <c r="R183" i="1"/>
  <c r="R163" i="1"/>
  <c r="S163" i="1"/>
  <c r="T163" i="1" s="1"/>
  <c r="AJ163" i="1" s="1"/>
  <c r="W163" i="1"/>
  <c r="Y163" i="1" s="1"/>
  <c r="X141" i="1"/>
  <c r="AF141" i="1"/>
  <c r="R143" i="1"/>
  <c r="S146" i="1"/>
  <c r="T146" i="1" s="1"/>
  <c r="AJ146" i="1" s="1"/>
  <c r="W146" i="1"/>
  <c r="Y146" i="1" s="1"/>
  <c r="R146" i="1"/>
  <c r="X149" i="1"/>
  <c r="R151" i="1"/>
  <c r="S154" i="1"/>
  <c r="T154" i="1" s="1"/>
  <c r="AJ154" i="1" s="1"/>
  <c r="W154" i="1"/>
  <c r="Y154" i="1" s="1"/>
  <c r="R154" i="1"/>
  <c r="X155" i="1"/>
  <c r="AE157" i="1"/>
  <c r="AE140" i="1"/>
  <c r="X152" i="1"/>
  <c r="AE153" i="1"/>
  <c r="AE156" i="1"/>
  <c r="X157" i="1"/>
  <c r="AE164" i="1"/>
  <c r="X164" i="1"/>
  <c r="Z164" i="1"/>
  <c r="S158" i="1"/>
  <c r="T158" i="1" s="1"/>
  <c r="AJ158" i="1" s="1"/>
  <c r="W158" i="1"/>
  <c r="Y158" i="1" s="1"/>
  <c r="R158" i="1"/>
  <c r="S142" i="1"/>
  <c r="T142" i="1" s="1"/>
  <c r="AJ142" i="1" s="1"/>
  <c r="W142" i="1"/>
  <c r="Y142" i="1" s="1"/>
  <c r="R142" i="1"/>
  <c r="W143" i="1"/>
  <c r="Y143" i="1" s="1"/>
  <c r="S150" i="1"/>
  <c r="T150" i="1" s="1"/>
  <c r="AJ150" i="1" s="1"/>
  <c r="W150" i="1"/>
  <c r="Y150" i="1" s="1"/>
  <c r="R150" i="1"/>
  <c r="W151" i="1"/>
  <c r="Y151" i="1" s="1"/>
  <c r="S159" i="1"/>
  <c r="T159" i="1" s="1"/>
  <c r="AJ159" i="1" s="1"/>
  <c r="W159" i="1"/>
  <c r="Y159" i="1" s="1"/>
  <c r="R159" i="1"/>
  <c r="AE165" i="1"/>
  <c r="R162" i="1"/>
  <c r="W162" i="1"/>
  <c r="Y162" i="1" s="1"/>
  <c r="R141" i="1"/>
  <c r="R145" i="1"/>
  <c r="R149" i="1"/>
  <c r="R153" i="1"/>
  <c r="R165" i="1"/>
  <c r="X12" i="1"/>
  <c r="AE12" i="1"/>
  <c r="X10" i="1"/>
  <c r="AF20" i="1"/>
  <c r="X42" i="1"/>
  <c r="AE57" i="1"/>
  <c r="AE61" i="1"/>
  <c r="X63" i="1"/>
  <c r="AF72" i="1"/>
  <c r="X72" i="1"/>
  <c r="X78" i="1"/>
  <c r="X76" i="1"/>
  <c r="AE80" i="1"/>
  <c r="X84" i="1"/>
  <c r="AE84" i="1"/>
  <c r="X89" i="1"/>
  <c r="AE95" i="1"/>
  <c r="X109" i="1"/>
  <c r="X131" i="1"/>
  <c r="AE131" i="1"/>
  <c r="Z131" i="1"/>
  <c r="AE132" i="1"/>
  <c r="Z132" i="1"/>
  <c r="X132" i="1"/>
  <c r="X135" i="1"/>
  <c r="AE135" i="1"/>
  <c r="Z135" i="1"/>
  <c r="AE136" i="1"/>
  <c r="Z136" i="1"/>
  <c r="X136" i="1"/>
  <c r="W133" i="1"/>
  <c r="Y133" i="1" s="1"/>
  <c r="W137" i="1"/>
  <c r="Y137" i="1" s="1"/>
  <c r="R133" i="1"/>
  <c r="W134" i="1"/>
  <c r="Y134" i="1" s="1"/>
  <c r="R137" i="1"/>
  <c r="R134" i="1"/>
  <c r="R129" i="1"/>
  <c r="R126" i="1"/>
  <c r="S124" i="1"/>
  <c r="T124" i="1" s="1"/>
  <c r="AJ124" i="1" s="1"/>
  <c r="R120" i="1"/>
  <c r="R121" i="1"/>
  <c r="R111" i="1"/>
  <c r="S114" i="1"/>
  <c r="T114" i="1" s="1"/>
  <c r="R115" i="1"/>
  <c r="R108" i="1"/>
  <c r="R112" i="1"/>
  <c r="R106" i="1"/>
  <c r="S100" i="1"/>
  <c r="T100" i="1" s="1"/>
  <c r="AJ100" i="1" s="1"/>
  <c r="R101" i="1"/>
  <c r="S104" i="1"/>
  <c r="T104" i="1" s="1"/>
  <c r="AJ104" i="1" s="1"/>
  <c r="R97" i="1"/>
  <c r="S94" i="1"/>
  <c r="T94" i="1" s="1"/>
  <c r="R95" i="1"/>
  <c r="R92" i="1"/>
  <c r="R89" i="1"/>
  <c r="S84" i="1"/>
  <c r="T84" i="1" s="1"/>
  <c r="AJ84" i="1" s="1"/>
  <c r="R84" i="1"/>
  <c r="R88" i="1"/>
  <c r="R85" i="1"/>
  <c r="R80" i="1"/>
  <c r="S80" i="1"/>
  <c r="T80" i="1" s="1"/>
  <c r="S77" i="1"/>
  <c r="T77" i="1" s="1"/>
  <c r="AJ77" i="1" s="1"/>
  <c r="R78" i="1"/>
  <c r="S78" i="1"/>
  <c r="T78" i="1" s="1"/>
  <c r="AJ78" i="1" s="1"/>
  <c r="S73" i="1"/>
  <c r="T73" i="1" s="1"/>
  <c r="AJ73" i="1" s="1"/>
  <c r="R74" i="1"/>
  <c r="S70" i="1"/>
  <c r="T70" i="1" s="1"/>
  <c r="AJ70" i="1" s="1"/>
  <c r="R71" i="1"/>
  <c r="S65" i="1"/>
  <c r="T65" i="1" s="1"/>
  <c r="AJ65" i="1" s="1"/>
  <c r="R61" i="1"/>
  <c r="S61" i="1"/>
  <c r="T61" i="1" s="1"/>
  <c r="R59" i="1"/>
  <c r="R53" i="1"/>
  <c r="R57" i="1"/>
  <c r="R54" i="1"/>
  <c r="S51" i="1"/>
  <c r="T51" i="1" s="1"/>
  <c r="AJ51" i="1" s="1"/>
  <c r="R47" i="1"/>
  <c r="R48" i="1"/>
  <c r="R43" i="1"/>
  <c r="R40" i="1"/>
  <c r="R34" i="1"/>
  <c r="R35" i="1"/>
  <c r="S38" i="1"/>
  <c r="T38" i="1" s="1"/>
  <c r="AJ38" i="1" s="1"/>
  <c r="R24" i="1"/>
  <c r="S27" i="1"/>
  <c r="T27" i="1" s="1"/>
  <c r="AJ27" i="1" s="1"/>
  <c r="R28" i="1"/>
  <c r="S31" i="1"/>
  <c r="T31" i="1" s="1"/>
  <c r="AJ31" i="1" s="1"/>
  <c r="R20" i="1"/>
  <c r="R15" i="1"/>
  <c r="S19" i="1"/>
  <c r="T19" i="1" s="1"/>
  <c r="S20" i="1"/>
  <c r="T20" i="1" s="1"/>
  <c r="AJ20" i="1" s="1"/>
  <c r="S7" i="1"/>
  <c r="T7" i="1" s="1"/>
  <c r="S15" i="1"/>
  <c r="T15" i="1" s="1"/>
  <c r="AJ15" i="1" s="1"/>
  <c r="R21" i="1"/>
  <c r="R18" i="1"/>
  <c r="R12" i="1"/>
  <c r="R9" i="1"/>
  <c r="S12" i="1"/>
  <c r="T12" i="1" s="1"/>
  <c r="AJ12" i="1" s="1"/>
  <c r="R13" i="1"/>
  <c r="S16" i="1"/>
  <c r="T16" i="1" s="1"/>
  <c r="AJ16" i="1" s="1"/>
  <c r="R8" i="1"/>
  <c r="AF87" i="1" l="1"/>
  <c r="AE144" i="1"/>
  <c r="AF144" i="1" s="1"/>
  <c r="AF110" i="1"/>
  <c r="AF103" i="1"/>
  <c r="T125" i="1"/>
  <c r="AE21" i="1"/>
  <c r="AM21" i="1" s="1"/>
  <c r="AN21" i="1" s="1"/>
  <c r="X144" i="1"/>
  <c r="X99" i="1"/>
  <c r="K35" i="5"/>
  <c r="L36" i="5"/>
  <c r="M36" i="5" s="1"/>
  <c r="M24" i="5"/>
  <c r="M22" i="5"/>
  <c r="M23" i="5"/>
  <c r="M38" i="5"/>
  <c r="K19" i="5"/>
  <c r="L19" i="5" s="1"/>
  <c r="AJ300" i="1"/>
  <c r="T299" i="1"/>
  <c r="X120" i="1"/>
  <c r="AF77" i="1"/>
  <c r="AE126" i="1"/>
  <c r="AM126" i="1" s="1"/>
  <c r="AJ221" i="1"/>
  <c r="T218" i="1"/>
  <c r="AJ218" i="1" s="1"/>
  <c r="AM27" i="1"/>
  <c r="AN27" i="1" s="1"/>
  <c r="AG27" i="1"/>
  <c r="AM161" i="1"/>
  <c r="AG161" i="1"/>
  <c r="AJ293" i="1"/>
  <c r="T291" i="1"/>
  <c r="AJ264" i="1"/>
  <c r="T262" i="1"/>
  <c r="AM34" i="1"/>
  <c r="AG34" i="1"/>
  <c r="AJ255" i="1"/>
  <c r="T253" i="1"/>
  <c r="AM57" i="1"/>
  <c r="AN57" i="1" s="1"/>
  <c r="AG57" i="1"/>
  <c r="AE210" i="1"/>
  <c r="Y210" i="1"/>
  <c r="Z210" i="1" s="1"/>
  <c r="AE212" i="1"/>
  <c r="Y212" i="1"/>
  <c r="Z212" i="1" s="1"/>
  <c r="AE207" i="1"/>
  <c r="Y207" i="1"/>
  <c r="Z207" i="1" s="1"/>
  <c r="Y243" i="1"/>
  <c r="Z243" i="1" s="1"/>
  <c r="AM135" i="1"/>
  <c r="AO135" i="1" s="1"/>
  <c r="AG135" i="1"/>
  <c r="AH135" i="1" s="1"/>
  <c r="AM132" i="1"/>
  <c r="AO132" i="1" s="1"/>
  <c r="AP132" i="1" s="1"/>
  <c r="AG132" i="1"/>
  <c r="AH132" i="1" s="1"/>
  <c r="AM121" i="1"/>
  <c r="AO121" i="1" s="1"/>
  <c r="AP121" i="1" s="1"/>
  <c r="AG121" i="1"/>
  <c r="AM85" i="1"/>
  <c r="AG85" i="1"/>
  <c r="AM61" i="1"/>
  <c r="AG61" i="1"/>
  <c r="AF56" i="1"/>
  <c r="AM8" i="1"/>
  <c r="AN8" i="1" s="1"/>
  <c r="AG8" i="1"/>
  <c r="AM165" i="1"/>
  <c r="AG165" i="1"/>
  <c r="AH165" i="1" s="1"/>
  <c r="X210" i="1"/>
  <c r="T285" i="1"/>
  <c r="X250" i="1"/>
  <c r="Y250" i="1"/>
  <c r="Z250" i="1" s="1"/>
  <c r="X213" i="1"/>
  <c r="Y213" i="1"/>
  <c r="Z213" i="1" s="1"/>
  <c r="Y155" i="1"/>
  <c r="Z155" i="1" s="1"/>
  <c r="X14" i="1"/>
  <c r="Y14" i="1"/>
  <c r="Z14" i="1" s="1"/>
  <c r="Y47" i="1"/>
  <c r="Z47" i="1" s="1"/>
  <c r="Y112" i="1"/>
  <c r="Z112" i="1" s="1"/>
  <c r="X95" i="1"/>
  <c r="Y95" i="1"/>
  <c r="Z95" i="1" s="1"/>
  <c r="AF83" i="1"/>
  <c r="AG83" i="1"/>
  <c r="Y53" i="1"/>
  <c r="Z53" i="1" s="1"/>
  <c r="AE99" i="1"/>
  <c r="AM99" i="1" s="1"/>
  <c r="AO99" i="1" s="1"/>
  <c r="Y104" i="1"/>
  <c r="Z104" i="1" s="1"/>
  <c r="Y13" i="1"/>
  <c r="Z13" i="1" s="1"/>
  <c r="X8" i="1"/>
  <c r="Y8" i="1"/>
  <c r="Z8" i="1" s="1"/>
  <c r="Y126" i="1"/>
  <c r="Z126" i="1" s="1"/>
  <c r="Y70" i="1"/>
  <c r="Z70" i="1" s="1"/>
  <c r="Y124" i="1"/>
  <c r="Z124" i="1" s="1"/>
  <c r="AG240" i="1"/>
  <c r="AH240" i="1" s="1"/>
  <c r="AF26" i="1"/>
  <c r="AG26" i="1"/>
  <c r="AH26" i="1" s="1"/>
  <c r="AM141" i="1"/>
  <c r="AG141" i="1"/>
  <c r="AH141" i="1" s="1"/>
  <c r="AE300" i="1"/>
  <c r="Y300" i="1"/>
  <c r="Z300" i="1" s="1"/>
  <c r="X114" i="1"/>
  <c r="Y114" i="1"/>
  <c r="Z114" i="1" s="1"/>
  <c r="Y97" i="1"/>
  <c r="Z97" i="1" s="1"/>
  <c r="Y147" i="1"/>
  <c r="Z147" i="1" s="1"/>
  <c r="AM152" i="1"/>
  <c r="AG152" i="1"/>
  <c r="AH152" i="1" s="1"/>
  <c r="AM164" i="1"/>
  <c r="AO164" i="1" s="1"/>
  <c r="AP164" i="1" s="1"/>
  <c r="AG164" i="1"/>
  <c r="AM157" i="1"/>
  <c r="AG157" i="1"/>
  <c r="AH157" i="1" s="1"/>
  <c r="AE145" i="1"/>
  <c r="Y145" i="1"/>
  <c r="Z145" i="1" s="1"/>
  <c r="Y74" i="1"/>
  <c r="Z74" i="1" s="1"/>
  <c r="Y89" i="1"/>
  <c r="Z89" i="1" s="1"/>
  <c r="Y54" i="1"/>
  <c r="Z54" i="1" s="1"/>
  <c r="X34" i="1"/>
  <c r="Y34" i="1"/>
  <c r="Z34" i="1" s="1"/>
  <c r="Y119" i="1"/>
  <c r="Z119" i="1" s="1"/>
  <c r="AM108" i="1"/>
  <c r="AO108" i="1" s="1"/>
  <c r="AP108" i="1" s="1"/>
  <c r="AG108" i="1"/>
  <c r="AM95" i="1"/>
  <c r="AN95" i="1" s="1"/>
  <c r="AG95" i="1"/>
  <c r="AH95" i="1" s="1"/>
  <c r="AF91" i="1"/>
  <c r="AF73" i="1"/>
  <c r="AM65" i="1"/>
  <c r="AN65" i="1" s="1"/>
  <c r="AG65" i="1"/>
  <c r="AM16" i="1"/>
  <c r="AO16" i="1" s="1"/>
  <c r="AP16" i="1" s="1"/>
  <c r="AG16" i="1"/>
  <c r="AM156" i="1"/>
  <c r="AO156" i="1" s="1"/>
  <c r="AP156" i="1" s="1"/>
  <c r="AG156" i="1"/>
  <c r="AH156" i="1" s="1"/>
  <c r="AM140" i="1"/>
  <c r="AO140" i="1" s="1"/>
  <c r="AP140" i="1" s="1"/>
  <c r="AG140" i="1"/>
  <c r="AF149" i="1"/>
  <c r="X207" i="1"/>
  <c r="X243" i="1"/>
  <c r="T274" i="1"/>
  <c r="AM149" i="1"/>
  <c r="Y59" i="1"/>
  <c r="Z59" i="1" s="1"/>
  <c r="Z58" i="1" s="1"/>
  <c r="AM76" i="1"/>
  <c r="AO76" i="1" s="1"/>
  <c r="AP76" i="1" s="1"/>
  <c r="AG76" i="1"/>
  <c r="AH76" i="1" s="1"/>
  <c r="Y9" i="1"/>
  <c r="Z9" i="1" s="1"/>
  <c r="Y120" i="1"/>
  <c r="Z120" i="1" s="1"/>
  <c r="Y57" i="1"/>
  <c r="Z57" i="1" s="1"/>
  <c r="X115" i="1"/>
  <c r="Y115" i="1"/>
  <c r="Z115" i="1" s="1"/>
  <c r="Y92" i="1"/>
  <c r="Z92" i="1" s="1"/>
  <c r="X129" i="1"/>
  <c r="Y129" i="1"/>
  <c r="Z129" i="1" s="1"/>
  <c r="Y85" i="1"/>
  <c r="Z85" i="1" s="1"/>
  <c r="AM73" i="1"/>
  <c r="AO73" i="1" s="1"/>
  <c r="AP73" i="1" s="1"/>
  <c r="X68" i="1"/>
  <c r="Y68" i="1"/>
  <c r="AM10" i="1"/>
  <c r="AO10" i="1" s="1"/>
  <c r="AP10" i="1" s="1"/>
  <c r="AG10" i="1"/>
  <c r="AE119" i="1"/>
  <c r="AM119" i="1" s="1"/>
  <c r="AO119" i="1" s="1"/>
  <c r="AM109" i="1"/>
  <c r="AO109" i="1" s="1"/>
  <c r="AP109" i="1" s="1"/>
  <c r="AG109" i="1"/>
  <c r="AH109" i="1" s="1"/>
  <c r="Y71" i="1"/>
  <c r="Z71" i="1" s="1"/>
  <c r="AE248" i="1"/>
  <c r="AF248" i="1" s="1"/>
  <c r="Y248" i="1"/>
  <c r="Z248" i="1" s="1"/>
  <c r="AE139" i="1"/>
  <c r="Y139" i="1"/>
  <c r="Z139" i="1" s="1"/>
  <c r="AE216" i="1"/>
  <c r="AM216" i="1" s="1"/>
  <c r="AO216" i="1" s="1"/>
  <c r="AP216" i="1" s="1"/>
  <c r="Y216" i="1"/>
  <c r="Z216" i="1" s="1"/>
  <c r="AE208" i="1"/>
  <c r="AF208" i="1" s="1"/>
  <c r="Y208" i="1"/>
  <c r="Z208" i="1" s="1"/>
  <c r="Y148" i="1"/>
  <c r="Z148" i="1" s="1"/>
  <c r="AE122" i="1"/>
  <c r="AF122" i="1" s="1"/>
  <c r="Y122" i="1"/>
  <c r="Z122" i="1" s="1"/>
  <c r="AE245" i="1"/>
  <c r="Y245" i="1"/>
  <c r="Z245" i="1" s="1"/>
  <c r="AM42" i="1"/>
  <c r="AG42" i="1"/>
  <c r="AH42" i="1" s="1"/>
  <c r="AM78" i="1"/>
  <c r="AG78" i="1"/>
  <c r="AM84" i="1"/>
  <c r="AG84" i="1"/>
  <c r="AE160" i="1"/>
  <c r="Y160" i="1"/>
  <c r="Z160" i="1" s="1"/>
  <c r="AM144" i="1"/>
  <c r="AO144" i="1" s="1"/>
  <c r="AP144" i="1" s="1"/>
  <c r="AE51" i="1"/>
  <c r="Y51" i="1"/>
  <c r="Z51" i="1" s="1"/>
  <c r="Y27" i="1"/>
  <c r="Z27" i="1" s="1"/>
  <c r="Y48" i="1"/>
  <c r="Z48" i="1" s="1"/>
  <c r="Y161" i="1"/>
  <c r="Z161" i="1" s="1"/>
  <c r="AE247" i="1"/>
  <c r="Y247" i="1"/>
  <c r="Z247" i="1" s="1"/>
  <c r="AM136" i="1"/>
  <c r="AO136" i="1" s="1"/>
  <c r="AP136" i="1" s="1"/>
  <c r="AG136" i="1"/>
  <c r="AM131" i="1"/>
  <c r="AO131" i="1" s="1"/>
  <c r="AP131" i="1" s="1"/>
  <c r="AG131" i="1"/>
  <c r="AH131" i="1" s="1"/>
  <c r="AM120" i="1"/>
  <c r="AG120" i="1"/>
  <c r="X113" i="1"/>
  <c r="AE89" i="1"/>
  <c r="AM80" i="1"/>
  <c r="AG80" i="1"/>
  <c r="AM70" i="1"/>
  <c r="AG70" i="1"/>
  <c r="AF64" i="1"/>
  <c r="AE54" i="1"/>
  <c r="AE48" i="1"/>
  <c r="X36" i="1"/>
  <c r="X27" i="1"/>
  <c r="AM12" i="1"/>
  <c r="AN12" i="1" s="1"/>
  <c r="AG12" i="1"/>
  <c r="AH12" i="1" s="1"/>
  <c r="AM153" i="1"/>
  <c r="AN153" i="1" s="1"/>
  <c r="AG153" i="1"/>
  <c r="AH153" i="1" s="1"/>
  <c r="X161" i="1"/>
  <c r="X212" i="1"/>
  <c r="AE242" i="1"/>
  <c r="AG242" i="1" s="1"/>
  <c r="AH242" i="1" s="1"/>
  <c r="Y43" i="1"/>
  <c r="Z43" i="1" s="1"/>
  <c r="Y108" i="1"/>
  <c r="Z108" i="1" s="1"/>
  <c r="Y100" i="1"/>
  <c r="Z100" i="1" s="1"/>
  <c r="X55" i="1"/>
  <c r="Y55" i="1"/>
  <c r="Z55" i="1" s="1"/>
  <c r="Y65" i="1"/>
  <c r="Z65" i="1" s="1"/>
  <c r="Z62" i="1" s="1"/>
  <c r="Y88" i="1"/>
  <c r="Z88" i="1" s="1"/>
  <c r="Y121" i="1"/>
  <c r="Z121" i="1" s="1"/>
  <c r="AE111" i="1"/>
  <c r="Y111" i="1"/>
  <c r="Z111" i="1" s="1"/>
  <c r="Y21" i="1"/>
  <c r="Z21" i="1" s="1"/>
  <c r="X16" i="1"/>
  <c r="Y16" i="1"/>
  <c r="Z16" i="1" s="1"/>
  <c r="AE214" i="1"/>
  <c r="Y214" i="1"/>
  <c r="Z214" i="1" s="1"/>
  <c r="AE118" i="1"/>
  <c r="Y118" i="1"/>
  <c r="Z118" i="1" s="1"/>
  <c r="X7" i="1"/>
  <c r="Y7" i="1"/>
  <c r="Z7" i="1" s="1"/>
  <c r="Y10" i="1"/>
  <c r="Z10" i="1" s="1"/>
  <c r="AE211" i="1"/>
  <c r="Y211" i="1"/>
  <c r="Z211" i="1" s="1"/>
  <c r="AM72" i="1"/>
  <c r="AG72" i="1"/>
  <c r="AH72" i="1" s="1"/>
  <c r="AE249" i="1"/>
  <c r="Y249" i="1"/>
  <c r="Z249" i="1" s="1"/>
  <c r="AE215" i="1"/>
  <c r="Y215" i="1"/>
  <c r="Z215" i="1" s="1"/>
  <c r="AM63" i="1"/>
  <c r="AO63" i="1" s="1"/>
  <c r="AP63" i="1" s="1"/>
  <c r="AG63" i="1"/>
  <c r="AH63" i="1" s="1"/>
  <c r="Y106" i="1"/>
  <c r="Z106" i="1" s="1"/>
  <c r="Z105" i="1" s="1"/>
  <c r="X106" i="1"/>
  <c r="AE38" i="1"/>
  <c r="AF38" i="1" s="1"/>
  <c r="Y38" i="1"/>
  <c r="Z38" i="1" s="1"/>
  <c r="Y35" i="1"/>
  <c r="Z35" i="1" s="1"/>
  <c r="AM35" i="1"/>
  <c r="AO35" i="1" s="1"/>
  <c r="AP35" i="1" s="1"/>
  <c r="AG35" i="1"/>
  <c r="AF33" i="1"/>
  <c r="AG33" i="1"/>
  <c r="AH33" i="1" s="1"/>
  <c r="Y31" i="1"/>
  <c r="Z31" i="1" s="1"/>
  <c r="AF30" i="1"/>
  <c r="AG30" i="1"/>
  <c r="AH30" i="1" s="1"/>
  <c r="AJ234" i="1"/>
  <c r="T224" i="1"/>
  <c r="X121" i="1"/>
  <c r="AE112" i="1"/>
  <c r="AE88" i="1"/>
  <c r="AF88" i="1" s="1"/>
  <c r="X65" i="1"/>
  <c r="AE47" i="1"/>
  <c r="AF47" i="1" s="1"/>
  <c r="AE155" i="1"/>
  <c r="X147" i="1"/>
  <c r="AE97" i="1"/>
  <c r="AG97" i="1" s="1"/>
  <c r="X112" i="1"/>
  <c r="X88" i="1"/>
  <c r="Z75" i="1"/>
  <c r="X74" i="1"/>
  <c r="X53" i="1"/>
  <c r="X47" i="1"/>
  <c r="AE147" i="1"/>
  <c r="AF147" i="1" s="1"/>
  <c r="AF300" i="1"/>
  <c r="AE114" i="1"/>
  <c r="X111" i="1"/>
  <c r="AE31" i="1"/>
  <c r="AF31" i="1" s="1"/>
  <c r="AF152" i="1"/>
  <c r="X300" i="1"/>
  <c r="T239" i="1"/>
  <c r="AF10" i="1"/>
  <c r="X13" i="1"/>
  <c r="X122" i="1"/>
  <c r="X108" i="1"/>
  <c r="AF109" i="1"/>
  <c r="AE100" i="1"/>
  <c r="X85" i="1"/>
  <c r="AN141" i="1"/>
  <c r="AF216" i="1"/>
  <c r="AM240" i="1"/>
  <c r="AO240" i="1" s="1"/>
  <c r="AP240" i="1" s="1"/>
  <c r="X148" i="1"/>
  <c r="AE128" i="1"/>
  <c r="AG128" i="1" s="1"/>
  <c r="X128" i="1"/>
  <c r="X38" i="1"/>
  <c r="AE9" i="1"/>
  <c r="AF9" i="1" s="1"/>
  <c r="AE148" i="1"/>
  <c r="AF148" i="1" s="1"/>
  <c r="X160" i="1"/>
  <c r="X139" i="1"/>
  <c r="X208" i="1"/>
  <c r="AF240" i="1"/>
  <c r="AE127" i="1"/>
  <c r="AG127" i="1" s="1"/>
  <c r="X127" i="1"/>
  <c r="AE115" i="1"/>
  <c r="AF115" i="1" s="1"/>
  <c r="AE104" i="1"/>
  <c r="X100" i="1"/>
  <c r="AE92" i="1"/>
  <c r="AE71" i="1"/>
  <c r="AE129" i="1"/>
  <c r="AF129" i="1" s="1"/>
  <c r="X104" i="1"/>
  <c r="X92" i="1"/>
  <c r="X71" i="1"/>
  <c r="AE43" i="1"/>
  <c r="AE13" i="1"/>
  <c r="X9" i="1"/>
  <c r="X216" i="1"/>
  <c r="X248" i="1"/>
  <c r="AG7" i="1"/>
  <c r="AM7" i="1"/>
  <c r="AH87" i="1"/>
  <c r="AM87" i="1"/>
  <c r="AO87" i="1" s="1"/>
  <c r="AF46" i="1"/>
  <c r="AM46" i="1"/>
  <c r="AO46" i="1" s="1"/>
  <c r="AM64" i="1"/>
  <c r="AO64" i="1" s="1"/>
  <c r="AJ94" i="1"/>
  <c r="T93" i="1"/>
  <c r="AJ167" i="1"/>
  <c r="T166" i="1"/>
  <c r="Z241" i="1"/>
  <c r="X241" i="1"/>
  <c r="AE241" i="1"/>
  <c r="AG241" i="1" s="1"/>
  <c r="AE246" i="1"/>
  <c r="AG246" i="1" s="1"/>
  <c r="Z246" i="1"/>
  <c r="AE209" i="1"/>
  <c r="AG209" i="1" s="1"/>
  <c r="Z209" i="1"/>
  <c r="Z101" i="1"/>
  <c r="AE101" i="1"/>
  <c r="AG101" i="1" s="1"/>
  <c r="X101" i="1"/>
  <c r="AJ68" i="1"/>
  <c r="T67" i="1"/>
  <c r="T32" i="1"/>
  <c r="AJ33" i="1"/>
  <c r="AH25" i="1"/>
  <c r="AM25" i="1"/>
  <c r="AO25" i="1" s="1"/>
  <c r="AF25" i="1"/>
  <c r="AM123" i="1"/>
  <c r="AO123" i="1" s="1"/>
  <c r="X82" i="1"/>
  <c r="AE82" i="1"/>
  <c r="AG82" i="1" s="1"/>
  <c r="Z82" i="1"/>
  <c r="AE41" i="1"/>
  <c r="AG41" i="1" s="1"/>
  <c r="Z41" i="1"/>
  <c r="X41" i="1"/>
  <c r="T75" i="1"/>
  <c r="AJ76" i="1"/>
  <c r="AM15" i="1"/>
  <c r="AO15" i="1" s="1"/>
  <c r="T17" i="1"/>
  <c r="AJ19" i="1"/>
  <c r="T107" i="1"/>
  <c r="AJ114" i="1"/>
  <c r="AF123" i="1"/>
  <c r="AF76" i="1"/>
  <c r="AF63" i="1"/>
  <c r="AE59" i="1"/>
  <c r="X54" i="1"/>
  <c r="AE53" i="1"/>
  <c r="AF53" i="1" s="1"/>
  <c r="AN156" i="1"/>
  <c r="AJ186" i="1"/>
  <c r="T185" i="1"/>
  <c r="X246" i="1"/>
  <c r="X244" i="1"/>
  <c r="AE244" i="1"/>
  <c r="AG244" i="1" s="1"/>
  <c r="Z244" i="1"/>
  <c r="AE250" i="1"/>
  <c r="AG250" i="1" s="1"/>
  <c r="AE213" i="1"/>
  <c r="AG213" i="1" s="1"/>
  <c r="X86" i="1"/>
  <c r="AE86" i="1"/>
  <c r="AG86" i="1" s="1"/>
  <c r="Z86" i="1"/>
  <c r="AM77" i="1"/>
  <c r="AO77" i="1" s="1"/>
  <c r="T62" i="1"/>
  <c r="AJ53" i="1"/>
  <c r="T52" i="1"/>
  <c r="AF37" i="1"/>
  <c r="AM37" i="1"/>
  <c r="AO37" i="1" s="1"/>
  <c r="Z18" i="1"/>
  <c r="AE18" i="1"/>
  <c r="AG18" i="1" s="1"/>
  <c r="X18" i="1"/>
  <c r="T117" i="1"/>
  <c r="Z28" i="1"/>
  <c r="AE28" i="1"/>
  <c r="AG28" i="1" s="1"/>
  <c r="X28" i="1"/>
  <c r="T105" i="1"/>
  <c r="AJ106" i="1"/>
  <c r="Z19" i="1"/>
  <c r="X19" i="1"/>
  <c r="AE19" i="1"/>
  <c r="AG19" i="1" s="1"/>
  <c r="Z94" i="1"/>
  <c r="X94" i="1"/>
  <c r="AE94" i="1"/>
  <c r="AG94" i="1" s="1"/>
  <c r="X98" i="1"/>
  <c r="AE98" i="1"/>
  <c r="AG98" i="1" s="1"/>
  <c r="Z98" i="1"/>
  <c r="AM110" i="1"/>
  <c r="AO110" i="1" s="1"/>
  <c r="AH103" i="1"/>
  <c r="AM103" i="1"/>
  <c r="AO103" i="1" s="1"/>
  <c r="AM20" i="1"/>
  <c r="AO20" i="1" s="1"/>
  <c r="T60" i="1"/>
  <c r="AJ61" i="1"/>
  <c r="X145" i="1"/>
  <c r="AE55" i="1"/>
  <c r="AG55" i="1" s="1"/>
  <c r="Z24" i="1"/>
  <c r="AE24" i="1"/>
  <c r="AG24" i="1" s="1"/>
  <c r="X24" i="1"/>
  <c r="AM114" i="1"/>
  <c r="AO114" i="1" s="1"/>
  <c r="X90" i="1"/>
  <c r="AE90" i="1"/>
  <c r="AG90" i="1" s="1"/>
  <c r="Z90" i="1"/>
  <c r="AH56" i="1"/>
  <c r="AM56" i="1"/>
  <c r="AO56" i="1" s="1"/>
  <c r="X49" i="1"/>
  <c r="AE49" i="1"/>
  <c r="AG49" i="1" s="1"/>
  <c r="Z49" i="1"/>
  <c r="AE40" i="1"/>
  <c r="AG40" i="1" s="1"/>
  <c r="Z40" i="1"/>
  <c r="X40" i="1"/>
  <c r="T23" i="1"/>
  <c r="AM33" i="1"/>
  <c r="AO33" i="1" s="1"/>
  <c r="AJ98" i="1"/>
  <c r="T96" i="1"/>
  <c r="AE68" i="1"/>
  <c r="AG68" i="1" s="1"/>
  <c r="Z68" i="1"/>
  <c r="AF50" i="1"/>
  <c r="AM50" i="1"/>
  <c r="AO50" i="1" s="1"/>
  <c r="T45" i="1"/>
  <c r="AM26" i="1"/>
  <c r="AO26" i="1" s="1"/>
  <c r="AN108" i="1"/>
  <c r="AP135" i="1"/>
  <c r="AN120" i="1"/>
  <c r="AJ7" i="1"/>
  <c r="T6" i="1"/>
  <c r="AJ80" i="1"/>
  <c r="T79" i="1"/>
  <c r="AE124" i="1"/>
  <c r="AE106" i="1"/>
  <c r="AE74" i="1"/>
  <c r="AF74" i="1" s="1"/>
  <c r="X70" i="1"/>
  <c r="X57" i="1"/>
  <c r="X35" i="1"/>
  <c r="AF15" i="1"/>
  <c r="AF7" i="1"/>
  <c r="AN140" i="1"/>
  <c r="AN34" i="1"/>
  <c r="AN80" i="1"/>
  <c r="AN85" i="1"/>
  <c r="X209" i="1"/>
  <c r="AH243" i="1"/>
  <c r="AM243" i="1"/>
  <c r="AO243" i="1" s="1"/>
  <c r="AF243" i="1"/>
  <c r="AM242" i="1"/>
  <c r="AO242" i="1" s="1"/>
  <c r="AF242" i="1"/>
  <c r="T138" i="1"/>
  <c r="AE14" i="1"/>
  <c r="AG14" i="1" s="1"/>
  <c r="X102" i="1"/>
  <c r="AE102" i="1"/>
  <c r="AG102" i="1" s="1"/>
  <c r="Z102" i="1"/>
  <c r="AM83" i="1"/>
  <c r="AO83" i="1" s="1"/>
  <c r="T130" i="1"/>
  <c r="AJ131" i="1"/>
  <c r="AJ40" i="1"/>
  <c r="T39" i="1"/>
  <c r="AH29" i="1"/>
  <c r="AM29" i="1"/>
  <c r="AO29" i="1" s="1"/>
  <c r="AF29" i="1"/>
  <c r="AE36" i="1"/>
  <c r="AG36" i="1" s="1"/>
  <c r="Z36" i="1"/>
  <c r="AE113" i="1"/>
  <c r="AG113" i="1" s="1"/>
  <c r="Z113" i="1"/>
  <c r="AM91" i="1"/>
  <c r="AO91" i="1" s="1"/>
  <c r="AE69" i="1"/>
  <c r="AG69" i="1" s="1"/>
  <c r="Z69" i="1"/>
  <c r="X69" i="1"/>
  <c r="AF11" i="1"/>
  <c r="AM11" i="1"/>
  <c r="AO11" i="1" s="1"/>
  <c r="AM30" i="1"/>
  <c r="AO30" i="1" s="1"/>
  <c r="T81" i="1"/>
  <c r="AE301" i="1"/>
  <c r="AG301" i="1" s="1"/>
  <c r="X301" i="1"/>
  <c r="Z301" i="1"/>
  <c r="AE297" i="1"/>
  <c r="AG297" i="1" s="1"/>
  <c r="X297" i="1"/>
  <c r="Z297" i="1"/>
  <c r="AE295" i="1"/>
  <c r="AG295" i="1" s="1"/>
  <c r="X295" i="1"/>
  <c r="Z295" i="1"/>
  <c r="AE293" i="1"/>
  <c r="AG293" i="1" s="1"/>
  <c r="X293" i="1"/>
  <c r="Z293" i="1"/>
  <c r="AE298" i="1"/>
  <c r="AG298" i="1" s="1"/>
  <c r="X298" i="1"/>
  <c r="Z298" i="1"/>
  <c r="AE296" i="1"/>
  <c r="AG296" i="1" s="1"/>
  <c r="X296" i="1"/>
  <c r="Z296" i="1"/>
  <c r="AE294" i="1"/>
  <c r="AG294" i="1" s="1"/>
  <c r="X294" i="1"/>
  <c r="Z294" i="1"/>
  <c r="AE292" i="1"/>
  <c r="AG292" i="1" s="1"/>
  <c r="X292" i="1"/>
  <c r="Z292" i="1"/>
  <c r="AE287" i="1"/>
  <c r="AG287" i="1" s="1"/>
  <c r="X287" i="1"/>
  <c r="Z287" i="1"/>
  <c r="AE290" i="1"/>
  <c r="AG290" i="1" s="1"/>
  <c r="X290" i="1"/>
  <c r="Z290" i="1"/>
  <c r="AE288" i="1"/>
  <c r="AG288" i="1" s="1"/>
  <c r="X288" i="1"/>
  <c r="Z288" i="1"/>
  <c r="AE286" i="1"/>
  <c r="AG286" i="1" s="1"/>
  <c r="X286" i="1"/>
  <c r="Z286" i="1"/>
  <c r="AE289" i="1"/>
  <c r="AG289" i="1" s="1"/>
  <c r="X289" i="1"/>
  <c r="Z289" i="1"/>
  <c r="AE280" i="1"/>
  <c r="AG280" i="1" s="1"/>
  <c r="X280" i="1"/>
  <c r="Z280" i="1"/>
  <c r="AE278" i="1"/>
  <c r="AG278" i="1" s="1"/>
  <c r="X278" i="1"/>
  <c r="Z278" i="1"/>
  <c r="AE283" i="1"/>
  <c r="AG283" i="1" s="1"/>
  <c r="X283" i="1"/>
  <c r="Z283" i="1"/>
  <c r="AE281" i="1"/>
  <c r="AG281" i="1" s="1"/>
  <c r="X281" i="1"/>
  <c r="Z281" i="1"/>
  <c r="AE279" i="1"/>
  <c r="AG279" i="1" s="1"/>
  <c r="X279" i="1"/>
  <c r="Z279" i="1"/>
  <c r="AE277" i="1"/>
  <c r="AG277" i="1" s="1"/>
  <c r="X277" i="1"/>
  <c r="Z277" i="1"/>
  <c r="AE275" i="1"/>
  <c r="AG275" i="1" s="1"/>
  <c r="X275" i="1"/>
  <c r="Z275" i="1"/>
  <c r="AE282" i="1"/>
  <c r="AG282" i="1" s="1"/>
  <c r="X282" i="1"/>
  <c r="Z282" i="1"/>
  <c r="AE276" i="1"/>
  <c r="AG276" i="1" s="1"/>
  <c r="X276" i="1"/>
  <c r="Z276" i="1"/>
  <c r="AE268" i="1"/>
  <c r="AG268" i="1" s="1"/>
  <c r="X268" i="1"/>
  <c r="Z268" i="1"/>
  <c r="AE270" i="1"/>
  <c r="AG270" i="1" s="1"/>
  <c r="X270" i="1"/>
  <c r="Z270" i="1"/>
  <c r="AE266" i="1"/>
  <c r="AG266" i="1" s="1"/>
  <c r="X266" i="1"/>
  <c r="Z266" i="1"/>
  <c r="AE273" i="1"/>
  <c r="AG273" i="1" s="1"/>
  <c r="X273" i="1"/>
  <c r="Z273" i="1"/>
  <c r="AE271" i="1"/>
  <c r="AG271" i="1" s="1"/>
  <c r="X271" i="1"/>
  <c r="Z271" i="1"/>
  <c r="AE269" i="1"/>
  <c r="AG269" i="1" s="1"/>
  <c r="X269" i="1"/>
  <c r="Z269" i="1"/>
  <c r="AE267" i="1"/>
  <c r="AG267" i="1" s="1"/>
  <c r="X267" i="1"/>
  <c r="Z267" i="1"/>
  <c r="AE265" i="1"/>
  <c r="AG265" i="1" s="1"/>
  <c r="X265" i="1"/>
  <c r="Z265" i="1"/>
  <c r="AE263" i="1"/>
  <c r="AG263" i="1" s="1"/>
  <c r="X263" i="1"/>
  <c r="Z263" i="1"/>
  <c r="AE272" i="1"/>
  <c r="AG272" i="1" s="1"/>
  <c r="X272" i="1"/>
  <c r="Z272" i="1"/>
  <c r="AE264" i="1"/>
  <c r="AG264" i="1" s="1"/>
  <c r="X264" i="1"/>
  <c r="Z264" i="1"/>
  <c r="AE259" i="1"/>
  <c r="AG259" i="1" s="1"/>
  <c r="X259" i="1"/>
  <c r="Z259" i="1"/>
  <c r="AE261" i="1"/>
  <c r="AG261" i="1" s="1"/>
  <c r="X261" i="1"/>
  <c r="Z261" i="1"/>
  <c r="AE257" i="1"/>
  <c r="AG257" i="1" s="1"/>
  <c r="X257" i="1"/>
  <c r="Z257" i="1"/>
  <c r="AE260" i="1"/>
  <c r="AG260" i="1" s="1"/>
  <c r="X260" i="1"/>
  <c r="Z260" i="1"/>
  <c r="AE258" i="1"/>
  <c r="AG258" i="1" s="1"/>
  <c r="X258" i="1"/>
  <c r="Z258" i="1"/>
  <c r="AE256" i="1"/>
  <c r="AG256" i="1" s="1"/>
  <c r="X256" i="1"/>
  <c r="Z256" i="1"/>
  <c r="AE254" i="1"/>
  <c r="AG254" i="1" s="1"/>
  <c r="X254" i="1"/>
  <c r="Z254" i="1"/>
  <c r="AE255" i="1"/>
  <c r="AG255" i="1" s="1"/>
  <c r="X255" i="1"/>
  <c r="Z255" i="1"/>
  <c r="AE251" i="1"/>
  <c r="AG251" i="1" s="1"/>
  <c r="X251" i="1"/>
  <c r="Z251" i="1"/>
  <c r="AE252" i="1"/>
  <c r="AG252" i="1" s="1"/>
  <c r="X252" i="1"/>
  <c r="Z252" i="1"/>
  <c r="AE238" i="1"/>
  <c r="AG238" i="1" s="1"/>
  <c r="X238" i="1"/>
  <c r="Z238" i="1"/>
  <c r="AE236" i="1"/>
  <c r="AG236" i="1" s="1"/>
  <c r="X236" i="1"/>
  <c r="Z236" i="1"/>
  <c r="AE232" i="1"/>
  <c r="AG232" i="1" s="1"/>
  <c r="X232" i="1"/>
  <c r="Z232" i="1"/>
  <c r="AE230" i="1"/>
  <c r="AG230" i="1" s="1"/>
  <c r="X230" i="1"/>
  <c r="Z230" i="1"/>
  <c r="AE228" i="1"/>
  <c r="AG228" i="1" s="1"/>
  <c r="X228" i="1"/>
  <c r="Z228" i="1"/>
  <c r="AE226" i="1"/>
  <c r="AG226" i="1" s="1"/>
  <c r="X226" i="1"/>
  <c r="Z226" i="1"/>
  <c r="AE234" i="1"/>
  <c r="AG234" i="1" s="1"/>
  <c r="X234" i="1"/>
  <c r="Z234" i="1"/>
  <c r="AE237" i="1"/>
  <c r="AG237" i="1" s="1"/>
  <c r="X237" i="1"/>
  <c r="Z237" i="1"/>
  <c r="AE235" i="1"/>
  <c r="AG235" i="1" s="1"/>
  <c r="X235" i="1"/>
  <c r="Z235" i="1"/>
  <c r="AE233" i="1"/>
  <c r="AG233" i="1" s="1"/>
  <c r="X233" i="1"/>
  <c r="Z233" i="1"/>
  <c r="AE231" i="1"/>
  <c r="AG231" i="1" s="1"/>
  <c r="X231" i="1"/>
  <c r="Z231" i="1"/>
  <c r="AE229" i="1"/>
  <c r="AG229" i="1" s="1"/>
  <c r="X229" i="1"/>
  <c r="Z229" i="1"/>
  <c r="AE227" i="1"/>
  <c r="AG227" i="1" s="1"/>
  <c r="X227" i="1"/>
  <c r="Z227" i="1"/>
  <c r="AE225" i="1"/>
  <c r="AG225" i="1" s="1"/>
  <c r="X225" i="1"/>
  <c r="Z225" i="1"/>
  <c r="AE220" i="1"/>
  <c r="AG220" i="1" s="1"/>
  <c r="X220" i="1"/>
  <c r="Z220" i="1"/>
  <c r="AE221" i="1"/>
  <c r="AG221" i="1" s="1"/>
  <c r="X221" i="1"/>
  <c r="Z221" i="1"/>
  <c r="AE219" i="1"/>
  <c r="AG219" i="1" s="1"/>
  <c r="X219" i="1"/>
  <c r="Z219" i="1"/>
  <c r="AE222" i="1"/>
  <c r="AG222" i="1" s="1"/>
  <c r="X222" i="1"/>
  <c r="Z222" i="1"/>
  <c r="AE217" i="1"/>
  <c r="AG217" i="1" s="1"/>
  <c r="X217" i="1"/>
  <c r="Z217" i="1"/>
  <c r="AE192" i="1"/>
  <c r="AG192" i="1" s="1"/>
  <c r="X192" i="1"/>
  <c r="Z192" i="1"/>
  <c r="AE190" i="1"/>
  <c r="AG190" i="1" s="1"/>
  <c r="X190" i="1"/>
  <c r="Z190" i="1"/>
  <c r="AE197" i="1"/>
  <c r="AG197" i="1" s="1"/>
  <c r="X197" i="1"/>
  <c r="Z197" i="1"/>
  <c r="AE204" i="1"/>
  <c r="AG204" i="1" s="1"/>
  <c r="X204" i="1"/>
  <c r="Z204" i="1"/>
  <c r="AE203" i="1"/>
  <c r="AG203" i="1" s="1"/>
  <c r="X203" i="1"/>
  <c r="Z203" i="1"/>
  <c r="Z187" i="1"/>
  <c r="AE187" i="1"/>
  <c r="AG187" i="1" s="1"/>
  <c r="X187" i="1"/>
  <c r="AE205" i="1"/>
  <c r="AG205" i="1" s="1"/>
  <c r="X205" i="1"/>
  <c r="Z205" i="1"/>
  <c r="AE196" i="1"/>
  <c r="AG196" i="1" s="1"/>
  <c r="X196" i="1"/>
  <c r="Z196" i="1"/>
  <c r="AE198" i="1"/>
  <c r="AG198" i="1" s="1"/>
  <c r="X198" i="1"/>
  <c r="Z198" i="1"/>
  <c r="AE201" i="1"/>
  <c r="AG201" i="1" s="1"/>
  <c r="X201" i="1"/>
  <c r="Z201" i="1"/>
  <c r="Z188" i="1"/>
  <c r="AE188" i="1"/>
  <c r="AG188" i="1" s="1"/>
  <c r="X188" i="1"/>
  <c r="Z186" i="1"/>
  <c r="AE186" i="1"/>
  <c r="AG186" i="1" s="1"/>
  <c r="X186" i="1"/>
  <c r="AE195" i="1"/>
  <c r="AG195" i="1" s="1"/>
  <c r="X195" i="1"/>
  <c r="Z195" i="1"/>
  <c r="AE193" i="1"/>
  <c r="AG193" i="1" s="1"/>
  <c r="X193" i="1"/>
  <c r="Z193" i="1"/>
  <c r="AE194" i="1"/>
  <c r="AG194" i="1" s="1"/>
  <c r="X194" i="1"/>
  <c r="Z194" i="1"/>
  <c r="AE200" i="1"/>
  <c r="AG200" i="1" s="1"/>
  <c r="X200" i="1"/>
  <c r="Z200" i="1"/>
  <c r="AE202" i="1"/>
  <c r="AG202" i="1" s="1"/>
  <c r="X202" i="1"/>
  <c r="Z202" i="1"/>
  <c r="AE191" i="1"/>
  <c r="AG191" i="1" s="1"/>
  <c r="X191" i="1"/>
  <c r="Z191" i="1"/>
  <c r="AE189" i="1"/>
  <c r="AG189" i="1" s="1"/>
  <c r="X189" i="1"/>
  <c r="Z189" i="1"/>
  <c r="AE199" i="1"/>
  <c r="AG199" i="1" s="1"/>
  <c r="X199" i="1"/>
  <c r="Z199" i="1"/>
  <c r="AE173" i="1"/>
  <c r="AG173" i="1" s="1"/>
  <c r="X173" i="1"/>
  <c r="Z173" i="1"/>
  <c r="AE179" i="1"/>
  <c r="AG179" i="1" s="1"/>
  <c r="X179" i="1"/>
  <c r="Z179" i="1"/>
  <c r="AE168" i="1"/>
  <c r="AG168" i="1" s="1"/>
  <c r="X168" i="1"/>
  <c r="Z168" i="1"/>
  <c r="AE176" i="1"/>
  <c r="AG176" i="1" s="1"/>
  <c r="X176" i="1"/>
  <c r="Z176" i="1"/>
  <c r="AE183" i="1"/>
  <c r="AG183" i="1" s="1"/>
  <c r="X183" i="1"/>
  <c r="Z183" i="1"/>
  <c r="AE181" i="1"/>
  <c r="AG181" i="1" s="1"/>
  <c r="X181" i="1"/>
  <c r="Z181" i="1"/>
  <c r="AE180" i="1"/>
  <c r="AG180" i="1" s="1"/>
  <c r="X180" i="1"/>
  <c r="Z180" i="1"/>
  <c r="AM167" i="1"/>
  <c r="AO167" i="1" s="1"/>
  <c r="AF167" i="1"/>
  <c r="AH167" i="1"/>
  <c r="AE175" i="1"/>
  <c r="AG175" i="1" s="1"/>
  <c r="X175" i="1"/>
  <c r="Z175" i="1"/>
  <c r="AE178" i="1"/>
  <c r="AG178" i="1" s="1"/>
  <c r="X178" i="1"/>
  <c r="Z178" i="1"/>
  <c r="AE172" i="1"/>
  <c r="AG172" i="1" s="1"/>
  <c r="X172" i="1"/>
  <c r="Z172" i="1"/>
  <c r="AE169" i="1"/>
  <c r="AG169" i="1" s="1"/>
  <c r="X169" i="1"/>
  <c r="Z169" i="1"/>
  <c r="AE182" i="1"/>
  <c r="AG182" i="1" s="1"/>
  <c r="X182" i="1"/>
  <c r="Z182" i="1"/>
  <c r="AE177" i="1"/>
  <c r="AG177" i="1" s="1"/>
  <c r="X177" i="1"/>
  <c r="Z177" i="1"/>
  <c r="AE171" i="1"/>
  <c r="AG171" i="1" s="1"/>
  <c r="X171" i="1"/>
  <c r="Z171" i="1"/>
  <c r="AE170" i="1"/>
  <c r="AG170" i="1" s="1"/>
  <c r="X170" i="1"/>
  <c r="Z170" i="1"/>
  <c r="AE184" i="1"/>
  <c r="AG184" i="1" s="1"/>
  <c r="X184" i="1"/>
  <c r="Z184" i="1"/>
  <c r="AE174" i="1"/>
  <c r="AG174" i="1" s="1"/>
  <c r="X174" i="1"/>
  <c r="Z174" i="1"/>
  <c r="AH164" i="1"/>
  <c r="AF164" i="1"/>
  <c r="AH140" i="1"/>
  <c r="AF140" i="1"/>
  <c r="AF161" i="1"/>
  <c r="AH161" i="1"/>
  <c r="Z151" i="1"/>
  <c r="AE151" i="1"/>
  <c r="X151" i="1"/>
  <c r="Z143" i="1"/>
  <c r="AE143" i="1"/>
  <c r="X143" i="1"/>
  <c r="AF157" i="1"/>
  <c r="AE162" i="1"/>
  <c r="X162" i="1"/>
  <c r="Z162" i="1"/>
  <c r="AE158" i="1"/>
  <c r="X158" i="1"/>
  <c r="Z158" i="1"/>
  <c r="AF156" i="1"/>
  <c r="AF145" i="1"/>
  <c r="AE154" i="1"/>
  <c r="X154" i="1"/>
  <c r="Z154" i="1"/>
  <c r="AF165" i="1"/>
  <c r="Z159" i="1"/>
  <c r="AE159" i="1"/>
  <c r="X159" i="1"/>
  <c r="AE150" i="1"/>
  <c r="X150" i="1"/>
  <c r="Z150" i="1"/>
  <c r="AE142" i="1"/>
  <c r="X142" i="1"/>
  <c r="Z142" i="1"/>
  <c r="AF153" i="1"/>
  <c r="AE146" i="1"/>
  <c r="X146" i="1"/>
  <c r="Z146" i="1"/>
  <c r="Z163" i="1"/>
  <c r="AE163" i="1"/>
  <c r="X163" i="1"/>
  <c r="AF16" i="1"/>
  <c r="AF8" i="1"/>
  <c r="AF12" i="1"/>
  <c r="AF21" i="1"/>
  <c r="AF27" i="1"/>
  <c r="AF35" i="1"/>
  <c r="AF34" i="1"/>
  <c r="AF57" i="1"/>
  <c r="AF54" i="1"/>
  <c r="AH61" i="1"/>
  <c r="AH60" i="1" s="1"/>
  <c r="AF61" i="1"/>
  <c r="AF65" i="1"/>
  <c r="AF71" i="1"/>
  <c r="AF70" i="1"/>
  <c r="AH80" i="1"/>
  <c r="AH79" i="1" s="1"/>
  <c r="AF80" i="1"/>
  <c r="AH84" i="1"/>
  <c r="AF84" i="1"/>
  <c r="AF89" i="1"/>
  <c r="AF85" i="1"/>
  <c r="AF95" i="1"/>
  <c r="AF104" i="1"/>
  <c r="AF108" i="1"/>
  <c r="AF120" i="1"/>
  <c r="AF121" i="1"/>
  <c r="AF126" i="1"/>
  <c r="Z134" i="1"/>
  <c r="X134" i="1"/>
  <c r="AE134" i="1"/>
  <c r="AF135" i="1"/>
  <c r="AF132" i="1"/>
  <c r="Z137" i="1"/>
  <c r="X137" i="1"/>
  <c r="AE137" i="1"/>
  <c r="AH136" i="1"/>
  <c r="AF136" i="1"/>
  <c r="AF131" i="1"/>
  <c r="Z133" i="1"/>
  <c r="X133" i="1"/>
  <c r="AE133" i="1"/>
  <c r="AH123" i="1"/>
  <c r="AH110" i="1"/>
  <c r="AH91" i="1"/>
  <c r="AH83" i="1"/>
  <c r="AH78" i="1"/>
  <c r="AH77" i="1"/>
  <c r="AH73" i="1"/>
  <c r="AH64" i="1"/>
  <c r="AH50" i="1"/>
  <c r="AH46" i="1"/>
  <c r="AH37" i="1"/>
  <c r="AH20" i="1"/>
  <c r="AH11" i="1"/>
  <c r="AH15" i="1"/>
  <c r="AN73" i="1" l="1"/>
  <c r="AG21" i="1"/>
  <c r="AN216" i="1"/>
  <c r="AN10" i="1"/>
  <c r="AG144" i="1"/>
  <c r="AH144" i="1" s="1"/>
  <c r="AN132" i="1"/>
  <c r="AN164" i="1"/>
  <c r="AM97" i="1"/>
  <c r="AO97" i="1" s="1"/>
  <c r="L35" i="5"/>
  <c r="K316" i="5"/>
  <c r="K324" i="5" s="1"/>
  <c r="AN63" i="1"/>
  <c r="AO126" i="1"/>
  <c r="AP126" i="1" s="1"/>
  <c r="AN126" i="1"/>
  <c r="Z117" i="1"/>
  <c r="Z125" i="1"/>
  <c r="AN135" i="1"/>
  <c r="AN136" i="1"/>
  <c r="AN121" i="1"/>
  <c r="Z93" i="1"/>
  <c r="AN144" i="1"/>
  <c r="AG126" i="1"/>
  <c r="AH126" i="1" s="1"/>
  <c r="AN16" i="1"/>
  <c r="AN240" i="1"/>
  <c r="AN109" i="1"/>
  <c r="AM163" i="1"/>
  <c r="AO163" i="1" s="1"/>
  <c r="AP163" i="1" s="1"/>
  <c r="AG163" i="1"/>
  <c r="AH163" i="1" s="1"/>
  <c r="AM92" i="1"/>
  <c r="AO92" i="1" s="1"/>
  <c r="AG92" i="1"/>
  <c r="AM118" i="1"/>
  <c r="AG118" i="1"/>
  <c r="AF118" i="1"/>
  <c r="AO8" i="1"/>
  <c r="AP8" i="1" s="1"/>
  <c r="AM143" i="1"/>
  <c r="AO143" i="1" s="1"/>
  <c r="AP143" i="1" s="1"/>
  <c r="AG143" i="1"/>
  <c r="Z39" i="1"/>
  <c r="AM59" i="1"/>
  <c r="AO59" i="1" s="1"/>
  <c r="AP59" i="1" s="1"/>
  <c r="AG59" i="1"/>
  <c r="AH59" i="1" s="1"/>
  <c r="AH58" i="1" s="1"/>
  <c r="AM13" i="1"/>
  <c r="AG13" i="1"/>
  <c r="AH13" i="1" s="1"/>
  <c r="AM155" i="1"/>
  <c r="AG155" i="1"/>
  <c r="AH155" i="1" s="1"/>
  <c r="AG215" i="1"/>
  <c r="AH215" i="1" s="1"/>
  <c r="AM215" i="1"/>
  <c r="AF215" i="1"/>
  <c r="AO72" i="1"/>
  <c r="AP72" i="1" s="1"/>
  <c r="AN72" i="1"/>
  <c r="AM111" i="1"/>
  <c r="AG111" i="1"/>
  <c r="AH111" i="1" s="1"/>
  <c r="AM48" i="1"/>
  <c r="AG48" i="1"/>
  <c r="AM160" i="1"/>
  <c r="AG160" i="1"/>
  <c r="AH160" i="1" s="1"/>
  <c r="AO42" i="1"/>
  <c r="AP42" i="1" s="1"/>
  <c r="AN42" i="1"/>
  <c r="AM208" i="1"/>
  <c r="AG208" i="1"/>
  <c r="AH208" i="1" s="1"/>
  <c r="AM134" i="1"/>
  <c r="AO134" i="1" s="1"/>
  <c r="AP134" i="1" s="1"/>
  <c r="AG134" i="1"/>
  <c r="AF92" i="1"/>
  <c r="AF48" i="1"/>
  <c r="AM158" i="1"/>
  <c r="AO158" i="1" s="1"/>
  <c r="AP158" i="1" s="1"/>
  <c r="AG158" i="1"/>
  <c r="AF160" i="1"/>
  <c r="AN131" i="1"/>
  <c r="AM43" i="1"/>
  <c r="AN43" i="1" s="1"/>
  <c r="AG43" i="1"/>
  <c r="AH43" i="1" s="1"/>
  <c r="AM148" i="1"/>
  <c r="AG148" i="1"/>
  <c r="AH148" i="1" s="1"/>
  <c r="AF114" i="1"/>
  <c r="AG114" i="1"/>
  <c r="AH114" i="1" s="1"/>
  <c r="AM47" i="1"/>
  <c r="AG47" i="1"/>
  <c r="AO12" i="1"/>
  <c r="AP12" i="1" s="1"/>
  <c r="AM54" i="1"/>
  <c r="AG54" i="1"/>
  <c r="AN157" i="1"/>
  <c r="AO157" i="1"/>
  <c r="AP157" i="1" s="1"/>
  <c r="AO152" i="1"/>
  <c r="AP152" i="1" s="1"/>
  <c r="AN152" i="1"/>
  <c r="AM300" i="1"/>
  <c r="AG300" i="1"/>
  <c r="AH300" i="1" s="1"/>
  <c r="AO85" i="1"/>
  <c r="AP85" i="1" s="1"/>
  <c r="AG212" i="1"/>
  <c r="AH212" i="1" s="1"/>
  <c r="AF212" i="1"/>
  <c r="AM212" i="1"/>
  <c r="AO57" i="1"/>
  <c r="AP57" i="1" s="1"/>
  <c r="AO34" i="1"/>
  <c r="AP34" i="1" s="1"/>
  <c r="AO27" i="1"/>
  <c r="AP27" i="1" s="1"/>
  <c r="AM146" i="1"/>
  <c r="AO146" i="1" s="1"/>
  <c r="AP146" i="1" s="1"/>
  <c r="AG146" i="1"/>
  <c r="AH146" i="1" s="1"/>
  <c r="AO70" i="1"/>
  <c r="AP70" i="1" s="1"/>
  <c r="AG247" i="1"/>
  <c r="AH247" i="1" s="1"/>
  <c r="AM247" i="1"/>
  <c r="AF247" i="1"/>
  <c r="AM51" i="1"/>
  <c r="AG51" i="1"/>
  <c r="AH51" i="1" s="1"/>
  <c r="AF51" i="1"/>
  <c r="AN84" i="1"/>
  <c r="AO84" i="1"/>
  <c r="AP84" i="1" s="1"/>
  <c r="AM122" i="1"/>
  <c r="AG122" i="1"/>
  <c r="AH122" i="1" s="1"/>
  <c r="AM139" i="1"/>
  <c r="AG139" i="1"/>
  <c r="AH139" i="1" s="1"/>
  <c r="AM137" i="1"/>
  <c r="AO137" i="1" s="1"/>
  <c r="AP137" i="1" s="1"/>
  <c r="AG137" i="1"/>
  <c r="AH137" i="1" s="1"/>
  <c r="AF155" i="1"/>
  <c r="AM150" i="1"/>
  <c r="AO150" i="1" s="1"/>
  <c r="AG150" i="1"/>
  <c r="AH150" i="1" s="1"/>
  <c r="AM154" i="1"/>
  <c r="AO154" i="1" s="1"/>
  <c r="AG154" i="1"/>
  <c r="AH154" i="1" s="1"/>
  <c r="AF139" i="1"/>
  <c r="AM74" i="1"/>
  <c r="AO74" i="1" s="1"/>
  <c r="AP74" i="1" s="1"/>
  <c r="AG74" i="1"/>
  <c r="AH74" i="1" s="1"/>
  <c r="Z45" i="1"/>
  <c r="AM53" i="1"/>
  <c r="AO53" i="1" s="1"/>
  <c r="AP53" i="1" s="1"/>
  <c r="AG53" i="1"/>
  <c r="AM129" i="1"/>
  <c r="AG129" i="1"/>
  <c r="AH129" i="1" s="1"/>
  <c r="AM104" i="1"/>
  <c r="AG104" i="1"/>
  <c r="AH104" i="1" s="1"/>
  <c r="AM9" i="1"/>
  <c r="AO9" i="1" s="1"/>
  <c r="AP9" i="1" s="1"/>
  <c r="AG9" i="1"/>
  <c r="AH9" i="1" s="1"/>
  <c r="AF111" i="1"/>
  <c r="AG249" i="1"/>
  <c r="AH249" i="1" s="1"/>
  <c r="AM249" i="1"/>
  <c r="AF249" i="1"/>
  <c r="AG211" i="1"/>
  <c r="AH211" i="1" s="1"/>
  <c r="AM211" i="1"/>
  <c r="AF211" i="1"/>
  <c r="AG214" i="1"/>
  <c r="AH214" i="1" s="1"/>
  <c r="AM214" i="1"/>
  <c r="AF214" i="1"/>
  <c r="AO80" i="1"/>
  <c r="AP80" i="1" s="1"/>
  <c r="AP79" i="1" s="1"/>
  <c r="AO120" i="1"/>
  <c r="AP120" i="1" s="1"/>
  <c r="AO21" i="1"/>
  <c r="AP21" i="1" s="1"/>
  <c r="AO78" i="1"/>
  <c r="AP78" i="1" s="1"/>
  <c r="AN78" i="1"/>
  <c r="AG245" i="1"/>
  <c r="AH245" i="1" s="1"/>
  <c r="AM245" i="1"/>
  <c r="AF245" i="1"/>
  <c r="AG216" i="1"/>
  <c r="AH216" i="1" s="1"/>
  <c r="AM248" i="1"/>
  <c r="AG248" i="1"/>
  <c r="AH248" i="1" s="1"/>
  <c r="AN165" i="1"/>
  <c r="AO165" i="1"/>
  <c r="AP165" i="1" s="1"/>
  <c r="AM159" i="1"/>
  <c r="AO159" i="1" s="1"/>
  <c r="AP159" i="1" s="1"/>
  <c r="AG159" i="1"/>
  <c r="AH159" i="1" s="1"/>
  <c r="AM162" i="1"/>
  <c r="AO162" i="1" s="1"/>
  <c r="AP162" i="1" s="1"/>
  <c r="AG162" i="1"/>
  <c r="AH162" i="1" s="1"/>
  <c r="AM124" i="1"/>
  <c r="AO124" i="1" s="1"/>
  <c r="AP124" i="1" s="1"/>
  <c r="AG124" i="1"/>
  <c r="AH124" i="1" s="1"/>
  <c r="AM147" i="1"/>
  <c r="AG147" i="1"/>
  <c r="AH147" i="1" s="1"/>
  <c r="AM112" i="1"/>
  <c r="AG112" i="1"/>
  <c r="AG99" i="1"/>
  <c r="AH99" i="1" s="1"/>
  <c r="AF99" i="1"/>
  <c r="AM133" i="1"/>
  <c r="AO133" i="1" s="1"/>
  <c r="AP133" i="1" s="1"/>
  <c r="AG133" i="1"/>
  <c r="AH133" i="1" s="1"/>
  <c r="AF124" i="1"/>
  <c r="AF112" i="1"/>
  <c r="AF13" i="1"/>
  <c r="AM142" i="1"/>
  <c r="AO142" i="1" s="1"/>
  <c r="AP142" i="1" s="1"/>
  <c r="AG142" i="1"/>
  <c r="AH142" i="1" s="1"/>
  <c r="AM151" i="1"/>
  <c r="AO151" i="1" s="1"/>
  <c r="AP151" i="1" s="1"/>
  <c r="AG151" i="1"/>
  <c r="AH151" i="1" s="1"/>
  <c r="Z6" i="1"/>
  <c r="Z52" i="1"/>
  <c r="AN70" i="1"/>
  <c r="AF97" i="1"/>
  <c r="AN76" i="1"/>
  <c r="AM71" i="1"/>
  <c r="AG71" i="1"/>
  <c r="AH71" i="1" s="1"/>
  <c r="AM115" i="1"/>
  <c r="AG115" i="1"/>
  <c r="AH115" i="1" s="1"/>
  <c r="AM100" i="1"/>
  <c r="AN100" i="1" s="1"/>
  <c r="AG100" i="1"/>
  <c r="AH100" i="1" s="1"/>
  <c r="AM88" i="1"/>
  <c r="AG88" i="1"/>
  <c r="AH88" i="1" s="1"/>
  <c r="AO153" i="1"/>
  <c r="AP153" i="1" s="1"/>
  <c r="AM89" i="1"/>
  <c r="AG89" i="1"/>
  <c r="AH89" i="1" s="1"/>
  <c r="AG119" i="1"/>
  <c r="AH119" i="1" s="1"/>
  <c r="AF119" i="1"/>
  <c r="AO149" i="1"/>
  <c r="AP149" i="1" s="1"/>
  <c r="AN149" i="1"/>
  <c r="AO65" i="1"/>
  <c r="AP65" i="1" s="1"/>
  <c r="AO95" i="1"/>
  <c r="AP95" i="1" s="1"/>
  <c r="AM145" i="1"/>
  <c r="AG145" i="1"/>
  <c r="AH145" i="1" s="1"/>
  <c r="AO141" i="1"/>
  <c r="AP141" i="1" s="1"/>
  <c r="AN61" i="1"/>
  <c r="AO61" i="1"/>
  <c r="AP61" i="1" s="1"/>
  <c r="AP60" i="1" s="1"/>
  <c r="AG207" i="1"/>
  <c r="AH207" i="1" s="1"/>
  <c r="AM207" i="1"/>
  <c r="AF207" i="1"/>
  <c r="AG210" i="1"/>
  <c r="AH210" i="1" s="1"/>
  <c r="AF210" i="1"/>
  <c r="AM210" i="1"/>
  <c r="AN161" i="1"/>
  <c r="AO161" i="1"/>
  <c r="AP161" i="1" s="1"/>
  <c r="AM106" i="1"/>
  <c r="AO106" i="1" s="1"/>
  <c r="AP106" i="1" s="1"/>
  <c r="AG106" i="1"/>
  <c r="AH106" i="1" s="1"/>
  <c r="AH105" i="1" s="1"/>
  <c r="AM38" i="1"/>
  <c r="AG38" i="1"/>
  <c r="AH38" i="1" s="1"/>
  <c r="Z32" i="1"/>
  <c r="AN35" i="1"/>
  <c r="Z23" i="1"/>
  <c r="AM31" i="1"/>
  <c r="AG31" i="1"/>
  <c r="AH31" i="1" s="1"/>
  <c r="Z299" i="1"/>
  <c r="Z224" i="1"/>
  <c r="Z130" i="1"/>
  <c r="AF59" i="1"/>
  <c r="Z239" i="1"/>
  <c r="AF100" i="1"/>
  <c r="Z138" i="1"/>
  <c r="Z274" i="1"/>
  <c r="Z285" i="1"/>
  <c r="Z291" i="1"/>
  <c r="Z206" i="1"/>
  <c r="AF127" i="1"/>
  <c r="AM127" i="1"/>
  <c r="AO127" i="1" s="1"/>
  <c r="Z166" i="1"/>
  <c r="AF43" i="1"/>
  <c r="AF106" i="1"/>
  <c r="AN92" i="1"/>
  <c r="AP92" i="1"/>
  <c r="AH128" i="1"/>
  <c r="AF128" i="1"/>
  <c r="AM128" i="1"/>
  <c r="AO128" i="1" s="1"/>
  <c r="Z185" i="1"/>
  <c r="Z218" i="1"/>
  <c r="Z253" i="1"/>
  <c r="AP30" i="1"/>
  <c r="AN30" i="1"/>
  <c r="AM36" i="1"/>
  <c r="AO36" i="1" s="1"/>
  <c r="AF36" i="1"/>
  <c r="AP83" i="1"/>
  <c r="AN83" i="1"/>
  <c r="AP243" i="1"/>
  <c r="AN243" i="1"/>
  <c r="AP114" i="1"/>
  <c r="AN114" i="1"/>
  <c r="AP103" i="1"/>
  <c r="AN103" i="1"/>
  <c r="Z96" i="1"/>
  <c r="AF28" i="1"/>
  <c r="AM28" i="1"/>
  <c r="AO28" i="1" s="1"/>
  <c r="AP37" i="1"/>
  <c r="AN37" i="1"/>
  <c r="AM86" i="1"/>
  <c r="AO86" i="1" s="1"/>
  <c r="AF86" i="1"/>
  <c r="AP119" i="1"/>
  <c r="AN119" i="1"/>
  <c r="AF41" i="1"/>
  <c r="AM41" i="1"/>
  <c r="AO41" i="1" s="1"/>
  <c r="AP123" i="1"/>
  <c r="AN123" i="1"/>
  <c r="AP97" i="1"/>
  <c r="AN97" i="1"/>
  <c r="AH246" i="1"/>
  <c r="AM246" i="1"/>
  <c r="AO246" i="1" s="1"/>
  <c r="AF246" i="1"/>
  <c r="AN87" i="1"/>
  <c r="AP87" i="1"/>
  <c r="AP242" i="1"/>
  <c r="AN242" i="1"/>
  <c r="T302" i="1"/>
  <c r="AJ302" i="1" s="1"/>
  <c r="Z67" i="1"/>
  <c r="AP33" i="1"/>
  <c r="AN33" i="1"/>
  <c r="AM49" i="1"/>
  <c r="AO49" i="1" s="1"/>
  <c r="AF49" i="1"/>
  <c r="AH98" i="1"/>
  <c r="AM98" i="1"/>
  <c r="AO98" i="1" s="1"/>
  <c r="AF98" i="1"/>
  <c r="AP77" i="1"/>
  <c r="AN77" i="1"/>
  <c r="AF213" i="1"/>
  <c r="AH213" i="1"/>
  <c r="AM213" i="1"/>
  <c r="AO213" i="1" s="1"/>
  <c r="AH244" i="1"/>
  <c r="AF244" i="1"/>
  <c r="AM244" i="1"/>
  <c r="AO244" i="1" s="1"/>
  <c r="Z81" i="1"/>
  <c r="AM101" i="1"/>
  <c r="AO101" i="1" s="1"/>
  <c r="AF101" i="1"/>
  <c r="AH241" i="1"/>
  <c r="AF241" i="1"/>
  <c r="AM241" i="1"/>
  <c r="AO241" i="1" s="1"/>
  <c r="AP11" i="1"/>
  <c r="AN11" i="1"/>
  <c r="AM69" i="1"/>
  <c r="AO69" i="1" s="1"/>
  <c r="AF69" i="1"/>
  <c r="AM113" i="1"/>
  <c r="AO113" i="1" s="1"/>
  <c r="AH113" i="1"/>
  <c r="AF113" i="1"/>
  <c r="AN29" i="1"/>
  <c r="AP29" i="1"/>
  <c r="AM14" i="1"/>
  <c r="AO14" i="1" s="1"/>
  <c r="AF14" i="1"/>
  <c r="AP26" i="1"/>
  <c r="AN26" i="1"/>
  <c r="AM68" i="1"/>
  <c r="AO68" i="1" s="1"/>
  <c r="AH68" i="1"/>
  <c r="AF68" i="1"/>
  <c r="AM90" i="1"/>
  <c r="AO90" i="1" s="1"/>
  <c r="AF90" i="1"/>
  <c r="AH90" i="1"/>
  <c r="AM55" i="1"/>
  <c r="AO55" i="1" s="1"/>
  <c r="AF55" i="1"/>
  <c r="AP20" i="1"/>
  <c r="AN20" i="1"/>
  <c r="AP110" i="1"/>
  <c r="AN110" i="1"/>
  <c r="AM18" i="1"/>
  <c r="AO18" i="1" s="1"/>
  <c r="AF18" i="1"/>
  <c r="AP15" i="1"/>
  <c r="AN15" i="1"/>
  <c r="AM82" i="1"/>
  <c r="AO82" i="1" s="1"/>
  <c r="AF82" i="1"/>
  <c r="AN25" i="1"/>
  <c r="AP25" i="1"/>
  <c r="AM209" i="1"/>
  <c r="AO209" i="1" s="1"/>
  <c r="AF209" i="1"/>
  <c r="AH209" i="1"/>
  <c r="AP46" i="1"/>
  <c r="AN46" i="1"/>
  <c r="AO7" i="1"/>
  <c r="AP7" i="1" s="1"/>
  <c r="AN7" i="1"/>
  <c r="AP150" i="1"/>
  <c r="AN150" i="1"/>
  <c r="AP154" i="1"/>
  <c r="Z262" i="1"/>
  <c r="AP91" i="1"/>
  <c r="AN91" i="1"/>
  <c r="AH102" i="1"/>
  <c r="AM102" i="1"/>
  <c r="AO102" i="1" s="1"/>
  <c r="AF102" i="1"/>
  <c r="AP50" i="1"/>
  <c r="AN50" i="1"/>
  <c r="AM40" i="1"/>
  <c r="AO40" i="1" s="1"/>
  <c r="AH40" i="1"/>
  <c r="AF40" i="1"/>
  <c r="AP56" i="1"/>
  <c r="AN56" i="1"/>
  <c r="AM24" i="1"/>
  <c r="AO24" i="1" s="1"/>
  <c r="AF24" i="1"/>
  <c r="AH94" i="1"/>
  <c r="AH93" i="1" s="1"/>
  <c r="AM94" i="1"/>
  <c r="AO94" i="1" s="1"/>
  <c r="AF94" i="1"/>
  <c r="AM19" i="1"/>
  <c r="AO19" i="1" s="1"/>
  <c r="AF19" i="1"/>
  <c r="AP99" i="1"/>
  <c r="AN99" i="1"/>
  <c r="AM250" i="1"/>
  <c r="AO250" i="1" s="1"/>
  <c r="AF250" i="1"/>
  <c r="AH250" i="1"/>
  <c r="AP64" i="1"/>
  <c r="AN64" i="1"/>
  <c r="AF301" i="1"/>
  <c r="AH301" i="1"/>
  <c r="AH299" i="1" s="1"/>
  <c r="AM301" i="1"/>
  <c r="AO301" i="1" s="1"/>
  <c r="AM294" i="1"/>
  <c r="AO294" i="1" s="1"/>
  <c r="AF294" i="1"/>
  <c r="AH294" i="1"/>
  <c r="AM295" i="1"/>
  <c r="AO295" i="1" s="1"/>
  <c r="AF295" i="1"/>
  <c r="AH295" i="1"/>
  <c r="AF292" i="1"/>
  <c r="AH292" i="1"/>
  <c r="AM292" i="1"/>
  <c r="AO292" i="1" s="1"/>
  <c r="AH293" i="1"/>
  <c r="AM293" i="1"/>
  <c r="AO293" i="1" s="1"/>
  <c r="AF293" i="1"/>
  <c r="AF298" i="1"/>
  <c r="AH298" i="1"/>
  <c r="AM298" i="1"/>
  <c r="AO298" i="1" s="1"/>
  <c r="AH296" i="1"/>
  <c r="AM296" i="1"/>
  <c r="AO296" i="1" s="1"/>
  <c r="AF296" i="1"/>
  <c r="AH297" i="1"/>
  <c r="AM297" i="1"/>
  <c r="AO297" i="1" s="1"/>
  <c r="AF297" i="1"/>
  <c r="AH290" i="1"/>
  <c r="AF290" i="1"/>
  <c r="AM290" i="1"/>
  <c r="AO290" i="1" s="1"/>
  <c r="AH288" i="1"/>
  <c r="AM288" i="1"/>
  <c r="AO288" i="1" s="1"/>
  <c r="AF288" i="1"/>
  <c r="AH286" i="1"/>
  <c r="AM286" i="1"/>
  <c r="AO286" i="1" s="1"/>
  <c r="AF286" i="1"/>
  <c r="AM289" i="1"/>
  <c r="AO289" i="1" s="1"/>
  <c r="AF289" i="1"/>
  <c r="AH289" i="1"/>
  <c r="AM287" i="1"/>
  <c r="AO287" i="1" s="1"/>
  <c r="AH287" i="1"/>
  <c r="AF287" i="1"/>
  <c r="AH277" i="1"/>
  <c r="AM277" i="1"/>
  <c r="AO277" i="1" s="1"/>
  <c r="AF277" i="1"/>
  <c r="AM278" i="1"/>
  <c r="AO278" i="1" s="1"/>
  <c r="AF278" i="1"/>
  <c r="AH278" i="1"/>
  <c r="AH275" i="1"/>
  <c r="AF275" i="1"/>
  <c r="AM275" i="1"/>
  <c r="AO275" i="1" s="1"/>
  <c r="AM282" i="1"/>
  <c r="AO282" i="1" s="1"/>
  <c r="AF282" i="1"/>
  <c r="AH282" i="1"/>
  <c r="AH281" i="1"/>
  <c r="AM281" i="1"/>
  <c r="AO281" i="1" s="1"/>
  <c r="AF281" i="1"/>
  <c r="AM283" i="1"/>
  <c r="AO283" i="1" s="1"/>
  <c r="AF283" i="1"/>
  <c r="AH283" i="1"/>
  <c r="AM276" i="1"/>
  <c r="AO276" i="1" s="1"/>
  <c r="AH276" i="1"/>
  <c r="AF276" i="1"/>
  <c r="AH279" i="1"/>
  <c r="AM279" i="1"/>
  <c r="AO279" i="1" s="1"/>
  <c r="AF279" i="1"/>
  <c r="AM280" i="1"/>
  <c r="AO280" i="1" s="1"/>
  <c r="AF280" i="1"/>
  <c r="AH280" i="1"/>
  <c r="AH264" i="1"/>
  <c r="AM264" i="1"/>
  <c r="AO264" i="1" s="1"/>
  <c r="AF264" i="1"/>
  <c r="AH267" i="1"/>
  <c r="AM267" i="1"/>
  <c r="AO267" i="1" s="1"/>
  <c r="AF267" i="1"/>
  <c r="AH266" i="1"/>
  <c r="AM266" i="1"/>
  <c r="AO266" i="1" s="1"/>
  <c r="AF266" i="1"/>
  <c r="AH269" i="1"/>
  <c r="AM269" i="1"/>
  <c r="AO269" i="1" s="1"/>
  <c r="AF269" i="1"/>
  <c r="AH265" i="1"/>
  <c r="AM265" i="1"/>
  <c r="AO265" i="1" s="1"/>
  <c r="AF265" i="1"/>
  <c r="AH273" i="1"/>
  <c r="AM273" i="1"/>
  <c r="AO273" i="1" s="1"/>
  <c r="AF273" i="1"/>
  <c r="AM272" i="1"/>
  <c r="AO272" i="1" s="1"/>
  <c r="AF272" i="1"/>
  <c r="AH272" i="1"/>
  <c r="AM270" i="1"/>
  <c r="AO270" i="1" s="1"/>
  <c r="AH270" i="1"/>
  <c r="AF270" i="1"/>
  <c r="AH263" i="1"/>
  <c r="AM263" i="1"/>
  <c r="AO263" i="1" s="1"/>
  <c r="AF263" i="1"/>
  <c r="AM271" i="1"/>
  <c r="AO271" i="1" s="1"/>
  <c r="AH271" i="1"/>
  <c r="AF271" i="1"/>
  <c r="AH268" i="1"/>
  <c r="AM268" i="1"/>
  <c r="AO268" i="1" s="1"/>
  <c r="AF268" i="1"/>
  <c r="AH254" i="1"/>
  <c r="AM254" i="1"/>
  <c r="AO254" i="1" s="1"/>
  <c r="AF254" i="1"/>
  <c r="AH257" i="1"/>
  <c r="AM257" i="1"/>
  <c r="AO257" i="1" s="1"/>
  <c r="AF257" i="1"/>
  <c r="AH256" i="1"/>
  <c r="AM256" i="1"/>
  <c r="AO256" i="1" s="1"/>
  <c r="AF256" i="1"/>
  <c r="AH255" i="1"/>
  <c r="AM255" i="1"/>
  <c r="AO255" i="1" s="1"/>
  <c r="AF255" i="1"/>
  <c r="AH260" i="1"/>
  <c r="AM260" i="1"/>
  <c r="AO260" i="1" s="1"/>
  <c r="AF260" i="1"/>
  <c r="AH261" i="1"/>
  <c r="AF261" i="1"/>
  <c r="AM261" i="1"/>
  <c r="AO261" i="1" s="1"/>
  <c r="AH258" i="1"/>
  <c r="AM258" i="1"/>
  <c r="AO258" i="1" s="1"/>
  <c r="AF258" i="1"/>
  <c r="AH259" i="1"/>
  <c r="AM259" i="1"/>
  <c r="AO259" i="1" s="1"/>
  <c r="AF259" i="1"/>
  <c r="AH252" i="1"/>
  <c r="AM252" i="1"/>
  <c r="AO252" i="1" s="1"/>
  <c r="AF252" i="1"/>
  <c r="AH251" i="1"/>
  <c r="AM251" i="1"/>
  <c r="AO251" i="1" s="1"/>
  <c r="AF251" i="1"/>
  <c r="AM225" i="1"/>
  <c r="AO225" i="1" s="1"/>
  <c r="AH225" i="1"/>
  <c r="AF225" i="1"/>
  <c r="AM231" i="1"/>
  <c r="AO231" i="1" s="1"/>
  <c r="AH231" i="1"/>
  <c r="AF231" i="1"/>
  <c r="AM234" i="1"/>
  <c r="AO234" i="1" s="1"/>
  <c r="AH234" i="1"/>
  <c r="AF234" i="1"/>
  <c r="AF232" i="1"/>
  <c r="AH232" i="1"/>
  <c r="AM232" i="1"/>
  <c r="AO232" i="1" s="1"/>
  <c r="AF229" i="1"/>
  <c r="AH229" i="1"/>
  <c r="AM229" i="1"/>
  <c r="AO229" i="1" s="1"/>
  <c r="AH233" i="1"/>
  <c r="AM233" i="1"/>
  <c r="AO233" i="1" s="1"/>
  <c r="AF233" i="1"/>
  <c r="AF226" i="1"/>
  <c r="AM226" i="1"/>
  <c r="AO226" i="1" s="1"/>
  <c r="AH226" i="1"/>
  <c r="AM236" i="1"/>
  <c r="AO236" i="1" s="1"/>
  <c r="AH236" i="1"/>
  <c r="AF236" i="1"/>
  <c r="AM237" i="1"/>
  <c r="AO237" i="1" s="1"/>
  <c r="AF237" i="1"/>
  <c r="AH237" i="1"/>
  <c r="AF230" i="1"/>
  <c r="AM230" i="1"/>
  <c r="AO230" i="1" s="1"/>
  <c r="AH230" i="1"/>
  <c r="AF227" i="1"/>
  <c r="AM227" i="1"/>
  <c r="AO227" i="1" s="1"/>
  <c r="AH227" i="1"/>
  <c r="AF235" i="1"/>
  <c r="AH235" i="1"/>
  <c r="AM235" i="1"/>
  <c r="AO235" i="1" s="1"/>
  <c r="AM228" i="1"/>
  <c r="AO228" i="1" s="1"/>
  <c r="AF228" i="1"/>
  <c r="AH228" i="1"/>
  <c r="AF238" i="1"/>
  <c r="AH238" i="1"/>
  <c r="AM238" i="1"/>
  <c r="AO238" i="1" s="1"/>
  <c r="AM219" i="1"/>
  <c r="AO219" i="1" s="1"/>
  <c r="AH219" i="1"/>
  <c r="AF219" i="1"/>
  <c r="AM221" i="1"/>
  <c r="AO221" i="1" s="1"/>
  <c r="AF221" i="1"/>
  <c r="AH221" i="1"/>
  <c r="AM222" i="1"/>
  <c r="AO222" i="1" s="1"/>
  <c r="AH222" i="1"/>
  <c r="AF222" i="1"/>
  <c r="AH220" i="1"/>
  <c r="AM220" i="1"/>
  <c r="AO220" i="1" s="1"/>
  <c r="AF220" i="1"/>
  <c r="AH217" i="1"/>
  <c r="AM217" i="1"/>
  <c r="AO217" i="1" s="1"/>
  <c r="AF217" i="1"/>
  <c r="AF188" i="1"/>
  <c r="AM188" i="1"/>
  <c r="AO188" i="1" s="1"/>
  <c r="AH188" i="1"/>
  <c r="AH201" i="1"/>
  <c r="AF201" i="1"/>
  <c r="AM201" i="1"/>
  <c r="AO201" i="1" s="1"/>
  <c r="AF190" i="1"/>
  <c r="AM190" i="1"/>
  <c r="AO190" i="1" s="1"/>
  <c r="AH190" i="1"/>
  <c r="AF189" i="1"/>
  <c r="AM189" i="1"/>
  <c r="AO189" i="1" s="1"/>
  <c r="AH189" i="1"/>
  <c r="AF194" i="1"/>
  <c r="AM194" i="1"/>
  <c r="AO194" i="1" s="1"/>
  <c r="AH194" i="1"/>
  <c r="AF186" i="1"/>
  <c r="AH186" i="1"/>
  <c r="AM186" i="1"/>
  <c r="AO186" i="1" s="1"/>
  <c r="AH205" i="1"/>
  <c r="AM205" i="1"/>
  <c r="AO205" i="1" s="1"/>
  <c r="AF205" i="1"/>
  <c r="AM197" i="1"/>
  <c r="AO197" i="1" s="1"/>
  <c r="AH197" i="1"/>
  <c r="AF197" i="1"/>
  <c r="AH191" i="1"/>
  <c r="AF191" i="1"/>
  <c r="AM191" i="1"/>
  <c r="AO191" i="1" s="1"/>
  <c r="AH193" i="1"/>
  <c r="AM193" i="1"/>
  <c r="AO193" i="1" s="1"/>
  <c r="AF193" i="1"/>
  <c r="AH199" i="1"/>
  <c r="AF199" i="1"/>
  <c r="AM199" i="1"/>
  <c r="AO199" i="1" s="1"/>
  <c r="AM200" i="1"/>
  <c r="AO200" i="1" s="1"/>
  <c r="AF200" i="1"/>
  <c r="AH200" i="1"/>
  <c r="AM196" i="1"/>
  <c r="AO196" i="1" s="1"/>
  <c r="AF196" i="1"/>
  <c r="AH196" i="1"/>
  <c r="AH204" i="1"/>
  <c r="AM204" i="1"/>
  <c r="AO204" i="1" s="1"/>
  <c r="AF204" i="1"/>
  <c r="AF202" i="1"/>
  <c r="AM202" i="1"/>
  <c r="AO202" i="1" s="1"/>
  <c r="AH202" i="1"/>
  <c r="AH195" i="1"/>
  <c r="AF195" i="1"/>
  <c r="AM195" i="1"/>
  <c r="AO195" i="1" s="1"/>
  <c r="AF198" i="1"/>
  <c r="AM198" i="1"/>
  <c r="AO198" i="1" s="1"/>
  <c r="AH198" i="1"/>
  <c r="AF187" i="1"/>
  <c r="AH187" i="1"/>
  <c r="AM187" i="1"/>
  <c r="AO187" i="1" s="1"/>
  <c r="AM203" i="1"/>
  <c r="AO203" i="1" s="1"/>
  <c r="AF203" i="1"/>
  <c r="AH203" i="1"/>
  <c r="AM192" i="1"/>
  <c r="AO192" i="1" s="1"/>
  <c r="AH192" i="1"/>
  <c r="AF192" i="1"/>
  <c r="AF177" i="1"/>
  <c r="AM177" i="1"/>
  <c r="AO177" i="1" s="1"/>
  <c r="AH177" i="1"/>
  <c r="AH178" i="1"/>
  <c r="AF178" i="1"/>
  <c r="AM178" i="1"/>
  <c r="AO178" i="1" s="1"/>
  <c r="AF181" i="1"/>
  <c r="AM181" i="1"/>
  <c r="AO181" i="1" s="1"/>
  <c r="AH181" i="1"/>
  <c r="AM179" i="1"/>
  <c r="AO179" i="1" s="1"/>
  <c r="AF179" i="1"/>
  <c r="AH179" i="1"/>
  <c r="AM171" i="1"/>
  <c r="AO171" i="1" s="1"/>
  <c r="AF171" i="1"/>
  <c r="AH171" i="1"/>
  <c r="AM172" i="1"/>
  <c r="AO172" i="1" s="1"/>
  <c r="AH172" i="1"/>
  <c r="AF172" i="1"/>
  <c r="AM180" i="1"/>
  <c r="AO180" i="1" s="1"/>
  <c r="AH180" i="1"/>
  <c r="AF180" i="1"/>
  <c r="AH168" i="1"/>
  <c r="AF168" i="1"/>
  <c r="AM168" i="1"/>
  <c r="AO168" i="1" s="1"/>
  <c r="AH170" i="1"/>
  <c r="AM170" i="1"/>
  <c r="AO170" i="1" s="1"/>
  <c r="AF170" i="1"/>
  <c r="AF169" i="1"/>
  <c r="AM169" i="1"/>
  <c r="AO169" i="1" s="1"/>
  <c r="AH169" i="1"/>
  <c r="AN167" i="1"/>
  <c r="AP167" i="1"/>
  <c r="AF176" i="1"/>
  <c r="AM176" i="1"/>
  <c r="AO176" i="1" s="1"/>
  <c r="AH176" i="1"/>
  <c r="AH174" i="1"/>
  <c r="AF174" i="1"/>
  <c r="AM174" i="1"/>
  <c r="AO174" i="1" s="1"/>
  <c r="AM184" i="1"/>
  <c r="AO184" i="1" s="1"/>
  <c r="AH184" i="1"/>
  <c r="AF184" i="1"/>
  <c r="AH182" i="1"/>
  <c r="AF182" i="1"/>
  <c r="AM182" i="1"/>
  <c r="AO182" i="1" s="1"/>
  <c r="AM175" i="1"/>
  <c r="AO175" i="1" s="1"/>
  <c r="AF175" i="1"/>
  <c r="AH175" i="1"/>
  <c r="AM183" i="1"/>
  <c r="AO183" i="1" s="1"/>
  <c r="AF183" i="1"/>
  <c r="AH183" i="1"/>
  <c r="AF173" i="1"/>
  <c r="AM173" i="1"/>
  <c r="AO173" i="1" s="1"/>
  <c r="AH173" i="1"/>
  <c r="AF151" i="1"/>
  <c r="AF163" i="1"/>
  <c r="AF146" i="1"/>
  <c r="AF159" i="1"/>
  <c r="AF162" i="1"/>
  <c r="AF143" i="1"/>
  <c r="AH143" i="1"/>
  <c r="AH158" i="1"/>
  <c r="AF158" i="1"/>
  <c r="AF142" i="1"/>
  <c r="AF150" i="1"/>
  <c r="AF154" i="1"/>
  <c r="AH75" i="1"/>
  <c r="AH134" i="1"/>
  <c r="AF134" i="1"/>
  <c r="AF133" i="1"/>
  <c r="AF137" i="1"/>
  <c r="AH127" i="1"/>
  <c r="AH121" i="1"/>
  <c r="AH120" i="1"/>
  <c r="AH118" i="1"/>
  <c r="AH108" i="1"/>
  <c r="AH112" i="1"/>
  <c r="Z107" i="1"/>
  <c r="AH97" i="1"/>
  <c r="AH101" i="1"/>
  <c r="AH92" i="1"/>
  <c r="AH85" i="1"/>
  <c r="AH82" i="1"/>
  <c r="AH86" i="1"/>
  <c r="AH70" i="1"/>
  <c r="AH69" i="1"/>
  <c r="AH65" i="1"/>
  <c r="AH62" i="1" s="1"/>
  <c r="AH57" i="1"/>
  <c r="AH55" i="1"/>
  <c r="AH54" i="1"/>
  <c r="AH53" i="1"/>
  <c r="AH48" i="1"/>
  <c r="AH47" i="1"/>
  <c r="AH49" i="1"/>
  <c r="AH41" i="1"/>
  <c r="AH35" i="1"/>
  <c r="AH36" i="1"/>
  <c r="AH34" i="1"/>
  <c r="AH28" i="1"/>
  <c r="AH27" i="1"/>
  <c r="AH24" i="1"/>
  <c r="Z17" i="1"/>
  <c r="AH21" i="1"/>
  <c r="AH19" i="1"/>
  <c r="AH18" i="1"/>
  <c r="AH10" i="1"/>
  <c r="AH14" i="1"/>
  <c r="AH16" i="1"/>
  <c r="AH7" i="1"/>
  <c r="AH8" i="1"/>
  <c r="AN162" i="1" l="1"/>
  <c r="AN142" i="1"/>
  <c r="AN151" i="1"/>
  <c r="AN154" i="1"/>
  <c r="AN53" i="1"/>
  <c r="AN158" i="1"/>
  <c r="AN9" i="1"/>
  <c r="AN137" i="1"/>
  <c r="AN124" i="1"/>
  <c r="H14" i="5"/>
  <c r="L324" i="5"/>
  <c r="J14" i="5" s="1"/>
  <c r="M35" i="5"/>
  <c r="L316" i="5"/>
  <c r="M316" i="5" s="1"/>
  <c r="M19" i="5"/>
  <c r="AN163" i="1"/>
  <c r="AN159" i="1"/>
  <c r="AN74" i="1"/>
  <c r="AN133" i="1"/>
  <c r="AN143" i="1"/>
  <c r="AN146" i="1"/>
  <c r="AN134" i="1"/>
  <c r="AN59" i="1"/>
  <c r="AN106" i="1"/>
  <c r="AO89" i="1"/>
  <c r="AP89" i="1" s="1"/>
  <c r="AN89" i="1"/>
  <c r="AN88" i="1"/>
  <c r="AO88" i="1"/>
  <c r="AP88" i="1" s="1"/>
  <c r="AO115" i="1"/>
  <c r="AP115" i="1" s="1"/>
  <c r="AN115" i="1"/>
  <c r="AO112" i="1"/>
  <c r="AP112" i="1" s="1"/>
  <c r="AN112" i="1"/>
  <c r="AO248" i="1"/>
  <c r="AP248" i="1" s="1"/>
  <c r="AN248" i="1"/>
  <c r="AO245" i="1"/>
  <c r="AP245" i="1" s="1"/>
  <c r="AN245" i="1"/>
  <c r="AO214" i="1"/>
  <c r="AP214" i="1" s="1"/>
  <c r="AN214" i="1"/>
  <c r="AO104" i="1"/>
  <c r="AP104" i="1" s="1"/>
  <c r="AN104" i="1"/>
  <c r="AO51" i="1"/>
  <c r="AP51" i="1" s="1"/>
  <c r="AN51" i="1"/>
  <c r="AO300" i="1"/>
  <c r="AP300" i="1" s="1"/>
  <c r="AN300" i="1"/>
  <c r="AO160" i="1"/>
  <c r="AP160" i="1" s="1"/>
  <c r="AN160" i="1"/>
  <c r="AO111" i="1"/>
  <c r="AP111" i="1" s="1"/>
  <c r="AN111" i="1"/>
  <c r="AO215" i="1"/>
  <c r="AP215" i="1" s="1"/>
  <c r="AN215" i="1"/>
  <c r="AO145" i="1"/>
  <c r="AP145" i="1" s="1"/>
  <c r="AN145" i="1"/>
  <c r="AO139" i="1"/>
  <c r="AP139" i="1" s="1"/>
  <c r="AN139" i="1"/>
  <c r="AO43" i="1"/>
  <c r="AP43" i="1" s="1"/>
  <c r="AO13" i="1"/>
  <c r="AP13" i="1" s="1"/>
  <c r="AN13" i="1"/>
  <c r="AO210" i="1"/>
  <c r="AP210" i="1" s="1"/>
  <c r="AN210" i="1"/>
  <c r="AO207" i="1"/>
  <c r="AP207" i="1" s="1"/>
  <c r="AN207" i="1"/>
  <c r="AO100" i="1"/>
  <c r="AP100" i="1" s="1"/>
  <c r="AO71" i="1"/>
  <c r="AP71" i="1" s="1"/>
  <c r="AN71" i="1"/>
  <c r="AO147" i="1"/>
  <c r="AP147" i="1" s="1"/>
  <c r="AN147" i="1"/>
  <c r="AO249" i="1"/>
  <c r="AP249" i="1" s="1"/>
  <c r="AN249" i="1"/>
  <c r="AO129" i="1"/>
  <c r="AP129" i="1" s="1"/>
  <c r="AN129" i="1"/>
  <c r="AO247" i="1"/>
  <c r="AP247" i="1" s="1"/>
  <c r="AN247" i="1"/>
  <c r="AO212" i="1"/>
  <c r="AP212" i="1" s="1"/>
  <c r="AN212" i="1"/>
  <c r="AO48" i="1"/>
  <c r="AP48" i="1" s="1"/>
  <c r="AN48" i="1"/>
  <c r="AO211" i="1"/>
  <c r="AP211" i="1" s="1"/>
  <c r="AN211" i="1"/>
  <c r="AN122" i="1"/>
  <c r="AO122" i="1"/>
  <c r="AP122" i="1" s="1"/>
  <c r="AO54" i="1"/>
  <c r="AP54" i="1" s="1"/>
  <c r="AN54" i="1"/>
  <c r="AO47" i="1"/>
  <c r="AP47" i="1" s="1"/>
  <c r="AN47" i="1"/>
  <c r="AO148" i="1"/>
  <c r="AP148" i="1" s="1"/>
  <c r="AN148" i="1"/>
  <c r="AO208" i="1"/>
  <c r="AP208" i="1" s="1"/>
  <c r="AN208" i="1"/>
  <c r="AO155" i="1"/>
  <c r="AP155" i="1" s="1"/>
  <c r="AN155" i="1"/>
  <c r="AO118" i="1"/>
  <c r="AP118" i="1" s="1"/>
  <c r="AN118" i="1"/>
  <c r="AO38" i="1"/>
  <c r="AP38" i="1" s="1"/>
  <c r="AN38" i="1"/>
  <c r="AO31" i="1"/>
  <c r="AP31" i="1" s="1"/>
  <c r="AN31" i="1"/>
  <c r="Z302" i="1"/>
  <c r="AH166" i="1"/>
  <c r="AN128" i="1"/>
  <c r="AP128" i="1"/>
  <c r="AH32" i="1"/>
  <c r="AH285" i="1"/>
  <c r="AH130" i="1"/>
  <c r="AH45" i="1"/>
  <c r="AH138" i="1"/>
  <c r="AN127" i="1"/>
  <c r="AP127" i="1"/>
  <c r="AH224" i="1"/>
  <c r="AH262" i="1"/>
  <c r="AH291" i="1"/>
  <c r="AH206" i="1"/>
  <c r="AN90" i="1"/>
  <c r="AP90" i="1"/>
  <c r="AH239" i="1"/>
  <c r="AP213" i="1"/>
  <c r="AN213" i="1"/>
  <c r="AP28" i="1"/>
  <c r="AN28" i="1"/>
  <c r="AN36" i="1"/>
  <c r="AP36" i="1"/>
  <c r="AH185" i="1"/>
  <c r="AH274" i="1"/>
  <c r="AN102" i="1"/>
  <c r="AP102" i="1"/>
  <c r="AN55" i="1"/>
  <c r="AP55" i="1"/>
  <c r="AP69" i="1"/>
  <c r="AN69" i="1"/>
  <c r="AP244" i="1"/>
  <c r="AN244" i="1"/>
  <c r="AP41" i="1"/>
  <c r="AN41" i="1"/>
  <c r="AN86" i="1"/>
  <c r="AP86" i="1"/>
  <c r="AH125" i="1"/>
  <c r="AH218" i="1"/>
  <c r="AP94" i="1"/>
  <c r="AP93" i="1" s="1"/>
  <c r="AN94" i="1"/>
  <c r="AP24" i="1"/>
  <c r="AN24" i="1"/>
  <c r="AP209" i="1"/>
  <c r="AN209" i="1"/>
  <c r="AP18" i="1"/>
  <c r="AN18" i="1"/>
  <c r="AN14" i="1"/>
  <c r="AP14" i="1"/>
  <c r="AP241" i="1"/>
  <c r="AN241" i="1"/>
  <c r="AN98" i="1"/>
  <c r="AP98" i="1"/>
  <c r="AP49" i="1"/>
  <c r="AN49" i="1"/>
  <c r="AP246" i="1"/>
  <c r="AN246" i="1"/>
  <c r="AH253" i="1"/>
  <c r="AN250" i="1"/>
  <c r="AP250" i="1"/>
  <c r="AN19" i="1"/>
  <c r="AP19" i="1"/>
  <c r="AP40" i="1"/>
  <c r="AN40" i="1"/>
  <c r="AN82" i="1"/>
  <c r="AP82" i="1"/>
  <c r="AN68" i="1"/>
  <c r="AP68" i="1"/>
  <c r="AP113" i="1"/>
  <c r="AN113" i="1"/>
  <c r="AP101" i="1"/>
  <c r="AN101" i="1"/>
  <c r="AP301" i="1"/>
  <c r="AN301" i="1"/>
  <c r="AN297" i="1"/>
  <c r="AP297" i="1"/>
  <c r="AP295" i="1"/>
  <c r="AN295" i="1"/>
  <c r="AN298" i="1"/>
  <c r="AP298" i="1"/>
  <c r="AP293" i="1"/>
  <c r="AN293" i="1"/>
  <c r="AN296" i="1"/>
  <c r="AP296" i="1"/>
  <c r="AN292" i="1"/>
  <c r="AP292" i="1"/>
  <c r="AN294" i="1"/>
  <c r="AP294" i="1"/>
  <c r="AP290" i="1"/>
  <c r="AN290" i="1"/>
  <c r="AP286" i="1"/>
  <c r="AN286" i="1"/>
  <c r="AP289" i="1"/>
  <c r="AN289" i="1"/>
  <c r="AP287" i="1"/>
  <c r="AN287" i="1"/>
  <c r="AP288" i="1"/>
  <c r="AN288" i="1"/>
  <c r="AN283" i="1"/>
  <c r="AP283" i="1"/>
  <c r="AN278" i="1"/>
  <c r="AP278" i="1"/>
  <c r="AN276" i="1"/>
  <c r="AP276" i="1"/>
  <c r="AP281" i="1"/>
  <c r="AN281" i="1"/>
  <c r="AP282" i="1"/>
  <c r="AN282" i="1"/>
  <c r="AP277" i="1"/>
  <c r="AN277" i="1"/>
  <c r="AP279" i="1"/>
  <c r="AN279" i="1"/>
  <c r="AN280" i="1"/>
  <c r="AP280" i="1"/>
  <c r="AP275" i="1"/>
  <c r="AN275" i="1"/>
  <c r="AP268" i="1"/>
  <c r="AN268" i="1"/>
  <c r="AP272" i="1"/>
  <c r="AN272" i="1"/>
  <c r="AN269" i="1"/>
  <c r="AP269" i="1"/>
  <c r="AP266" i="1"/>
  <c r="AN266" i="1"/>
  <c r="AP263" i="1"/>
  <c r="AN263" i="1"/>
  <c r="AP270" i="1"/>
  <c r="AN270" i="1"/>
  <c r="AP265" i="1"/>
  <c r="AN265" i="1"/>
  <c r="AP264" i="1"/>
  <c r="AN264" i="1"/>
  <c r="AP271" i="1"/>
  <c r="AN271" i="1"/>
  <c r="AP273" i="1"/>
  <c r="AN273" i="1"/>
  <c r="AP267" i="1"/>
  <c r="AN267" i="1"/>
  <c r="AP259" i="1"/>
  <c r="AN259" i="1"/>
  <c r="AP255" i="1"/>
  <c r="AN255" i="1"/>
  <c r="AP258" i="1"/>
  <c r="AN258" i="1"/>
  <c r="AP261" i="1"/>
  <c r="AN261" i="1"/>
  <c r="AP260" i="1"/>
  <c r="AN260" i="1"/>
  <c r="AP254" i="1"/>
  <c r="AN254" i="1"/>
  <c r="AP256" i="1"/>
  <c r="AN256" i="1"/>
  <c r="AP257" i="1"/>
  <c r="AN257" i="1"/>
  <c r="AP252" i="1"/>
  <c r="AN252" i="1"/>
  <c r="AP251" i="1"/>
  <c r="AN251" i="1"/>
  <c r="AP227" i="1"/>
  <c r="AN227" i="1"/>
  <c r="AP226" i="1"/>
  <c r="AN226" i="1"/>
  <c r="AP232" i="1"/>
  <c r="AN232" i="1"/>
  <c r="AP231" i="1"/>
  <c r="AN231" i="1"/>
  <c r="AP238" i="1"/>
  <c r="AN238" i="1"/>
  <c r="AP236" i="1"/>
  <c r="AN236" i="1"/>
  <c r="AP235" i="1"/>
  <c r="AN235" i="1"/>
  <c r="AP229" i="1"/>
  <c r="AN229" i="1"/>
  <c r="AP234" i="1"/>
  <c r="AN234" i="1"/>
  <c r="AP228" i="1"/>
  <c r="AN228" i="1"/>
  <c r="AP230" i="1"/>
  <c r="AN230" i="1"/>
  <c r="AP237" i="1"/>
  <c r="AN237" i="1"/>
  <c r="AP233" i="1"/>
  <c r="AN233" i="1"/>
  <c r="AP225" i="1"/>
  <c r="AN225" i="1"/>
  <c r="AP221" i="1"/>
  <c r="AN221" i="1"/>
  <c r="AP220" i="1"/>
  <c r="AN220" i="1"/>
  <c r="AN222" i="1"/>
  <c r="AP222" i="1"/>
  <c r="AN219" i="1"/>
  <c r="AP219" i="1"/>
  <c r="AP217" i="1"/>
  <c r="AN217" i="1"/>
  <c r="AP202" i="1"/>
  <c r="AN202" i="1"/>
  <c r="AP205" i="1"/>
  <c r="AN205" i="1"/>
  <c r="AP203" i="1"/>
  <c r="AN203" i="1"/>
  <c r="AP191" i="1"/>
  <c r="AN191" i="1"/>
  <c r="AP189" i="1"/>
  <c r="AN189" i="1"/>
  <c r="AP192" i="1"/>
  <c r="AN192" i="1"/>
  <c r="AP187" i="1"/>
  <c r="AN187" i="1"/>
  <c r="AP198" i="1"/>
  <c r="AN198" i="1"/>
  <c r="AP200" i="1"/>
  <c r="AN200" i="1"/>
  <c r="AP197" i="1"/>
  <c r="AN197" i="1"/>
  <c r="AP186" i="1"/>
  <c r="AN186" i="1"/>
  <c r="AP194" i="1"/>
  <c r="AN194" i="1"/>
  <c r="AP201" i="1"/>
  <c r="AN201" i="1"/>
  <c r="AP188" i="1"/>
  <c r="AN188" i="1"/>
  <c r="AP195" i="1"/>
  <c r="AN195" i="1"/>
  <c r="AP190" i="1"/>
  <c r="AN190" i="1"/>
  <c r="AP204" i="1"/>
  <c r="AN204" i="1"/>
  <c r="AP196" i="1"/>
  <c r="AN196" i="1"/>
  <c r="AP199" i="1"/>
  <c r="AN199" i="1"/>
  <c r="AP193" i="1"/>
  <c r="AN193" i="1"/>
  <c r="AP183" i="1"/>
  <c r="AN183" i="1"/>
  <c r="AP182" i="1"/>
  <c r="AN182" i="1"/>
  <c r="AP168" i="1"/>
  <c r="AN168" i="1"/>
  <c r="AP172" i="1"/>
  <c r="AN172" i="1"/>
  <c r="AP184" i="1"/>
  <c r="AN184" i="1"/>
  <c r="AP180" i="1"/>
  <c r="AN180" i="1"/>
  <c r="AP174" i="1"/>
  <c r="AN174" i="1"/>
  <c r="AP176" i="1"/>
  <c r="AN176" i="1"/>
  <c r="AP170" i="1"/>
  <c r="AN170" i="1"/>
  <c r="AP179" i="1"/>
  <c r="AN179" i="1"/>
  <c r="AP178" i="1"/>
  <c r="AN178" i="1"/>
  <c r="AP177" i="1"/>
  <c r="AN177" i="1"/>
  <c r="AP173" i="1"/>
  <c r="AN173" i="1"/>
  <c r="AP181" i="1"/>
  <c r="AN181" i="1"/>
  <c r="AP175" i="1"/>
  <c r="AN175" i="1"/>
  <c r="AP169" i="1"/>
  <c r="AN169" i="1"/>
  <c r="AP171" i="1"/>
  <c r="AN171" i="1"/>
  <c r="AH6" i="1"/>
  <c r="AH17" i="1"/>
  <c r="AH23" i="1"/>
  <c r="AH39" i="1"/>
  <c r="AH52" i="1"/>
  <c r="AH67" i="1"/>
  <c r="AP75" i="1"/>
  <c r="AH81" i="1"/>
  <c r="AH96" i="1"/>
  <c r="AH117" i="1"/>
  <c r="AP130" i="1"/>
  <c r="AH107" i="1"/>
  <c r="AP105" i="1"/>
  <c r="AP62" i="1"/>
  <c r="AP58" i="1"/>
  <c r="AP299" i="1" l="1"/>
  <c r="AP6" i="1"/>
  <c r="AP17" i="1"/>
  <c r="M324" i="5"/>
  <c r="L14" i="5"/>
  <c r="AP96" i="1"/>
  <c r="AP138" i="1"/>
  <c r="AP81" i="1"/>
  <c r="AP45" i="1"/>
  <c r="AP32" i="1"/>
  <c r="AP23" i="1"/>
  <c r="AP224" i="1"/>
  <c r="AP166" i="1"/>
  <c r="AP274" i="1"/>
  <c r="AP285" i="1"/>
  <c r="AP206" i="1"/>
  <c r="AP218" i="1"/>
  <c r="AP291" i="1"/>
  <c r="AP253" i="1"/>
  <c r="AP262" i="1"/>
  <c r="AP239" i="1"/>
  <c r="AP185" i="1"/>
  <c r="AH302" i="1"/>
  <c r="AP39" i="1"/>
  <c r="AP52" i="1"/>
  <c r="AP67" i="1"/>
  <c r="AP107" i="1"/>
  <c r="AP117" i="1"/>
  <c r="AP125" i="1"/>
  <c r="AP30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Rosângela campos sampaio</author>
  </authors>
  <commentList>
    <comment ref="F28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GABRIELLE:</t>
        </r>
        <r>
          <rPr>
            <sz val="9"/>
            <color indexed="81"/>
            <rFont val="Segoe UI"/>
            <family val="2"/>
          </rPr>
          <t xml:space="preserve">
ADITIVO:
1008,71 
</t>
        </r>
      </text>
    </comment>
    <comment ref="F29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>ADITIVO:
38,54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F31" authorId="0" shapeId="0" xr:uid="{00000000-0006-0000-0000-000003000000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 xml:space="preserve">ADITIVO:
4,46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Rosângela campos sampaio</author>
  </authors>
  <commentList>
    <comment ref="F28" authorId="0" shapeId="0" xr:uid="{00000000-0006-0000-0400-000001000000}">
      <text>
        <r>
          <rPr>
            <b/>
            <sz val="9"/>
            <color indexed="81"/>
            <rFont val="Segoe UI"/>
            <family val="2"/>
          </rPr>
          <t>GABRIELLE:</t>
        </r>
        <r>
          <rPr>
            <sz val="9"/>
            <color indexed="81"/>
            <rFont val="Segoe UI"/>
            <family val="2"/>
          </rPr>
          <t xml:space="preserve">
ADITIVO:
1008,71 
</t>
        </r>
      </text>
    </comment>
    <comment ref="F29" authorId="0" shapeId="0" xr:uid="{00000000-0006-0000-0400-000002000000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>ADITIVO:
38,54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F31" authorId="0" shapeId="0" xr:uid="{00000000-0006-0000-0400-000003000000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 xml:space="preserve">ADITIVO:
4,46
</t>
        </r>
      </text>
    </comment>
  </commentList>
</comments>
</file>

<file path=xl/sharedStrings.xml><?xml version="1.0" encoding="utf-8"?>
<sst xmlns="http://schemas.openxmlformats.org/spreadsheetml/2006/main" count="6052" uniqueCount="1117">
  <si>
    <t>CONSTRUTORA SOUSA CAMPOS: 19.175.657/0001-18</t>
  </si>
  <si>
    <t>Bancos</t>
  </si>
  <si>
    <t>B.D.I.</t>
  </si>
  <si>
    <t>Encargos Sociais</t>
  </si>
  <si>
    <t>OBRA: CONTRATAÇÃO DE EMPRESA PARA CONSTRUÇÃO DE UMA ESCOLA COM 06 (SEIS) SALAS DE AULA  NO MUNICÍPIO DE MOGEIRO–PB</t>
  </si>
  <si>
    <t xml:space="preserve"> SINAPI -    04/2023
SBC - 05/2023
ORSE - 05/2023
SEINFRA - 05/2021
</t>
  </si>
  <si>
    <t>22,47%</t>
  </si>
  <si>
    <t>ORSE 111,93 / 71,07                                 SBC 113,45 / -                                               SEINFRA 112,76 / 71,07                                   SINAPI  113,42 / 69,75                                     PROPRIA</t>
  </si>
  <si>
    <t>PLANILHA ORÇAMENTÁRIA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</si>
  <si>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</si>
  <si>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</si>
  <si>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</si>
  <si>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</si>
  <si>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</si>
  <si>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</si>
  <si>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</si>
  <si>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</si>
  <si>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</si>
  <si>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</si>
  <si>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</si>
  <si>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</si>
  <si>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51 </t>
  </si>
  <si>
    <t>ORSE</t>
  </si>
  <si>
    <t>Placa de obra em chapa aço galvanizado, instalada - Rev 02_01/2022</t>
  </si>
  <si>
    <t>m²</t>
  </si>
  <si>
    <t xml:space="preserve"> 98458 </t>
  </si>
  <si>
    <t>SINAPI</t>
  </si>
  <si>
    <t>TAPUME COM COMPENSADO DE MADEIRA. AF_05/2018</t>
  </si>
  <si>
    <t xml:space="preserve"> C2850 </t>
  </si>
  <si>
    <t>SEINFRA</t>
  </si>
  <si>
    <t>INSTALAÇÕES PROVISÓRIAS DE LUZ , FORÇA,TELEFONE E LÓGICA</t>
  </si>
  <si>
    <t>UN</t>
  </si>
  <si>
    <t xml:space="preserve"> 93214 </t>
  </si>
  <si>
    <t>EXECUÇÃO DE RESERVATÓRIO ELEVADO DE ÁGUA (1000 LITROS) EM CANTEIRO DE OBRA, APOIADO EM ESTRUTURA DE MADEIRA. AF_02/2016_PA</t>
  </si>
  <si>
    <t xml:space="preserve"> C2832 </t>
  </si>
  <si>
    <t>FOSSA SÉPTICA E SUMIDOURO  EM ALVENARIA</t>
  </si>
  <si>
    <t xml:space="preserve"> 93212 </t>
  </si>
  <si>
    <t>EXECUÇÃO DE SANITÁRIO E VESTIÁRIO EM CANTEIRO DE OBRA EM CHAPA DE MADEIRA COMPENSADA, NÃO INCLUSO MOBILIÁRIO. AF_02/2016</t>
  </si>
  <si>
    <t xml:space="preserve"> 93207 </t>
  </si>
  <si>
    <t>EXECUÇÃO DE ESCRITÓRIO EM CANTEIRO DE OBRA EM CHAPA DE MADEIRA COMPENSADA, NÃO INCLUSO MOBILIÁRIO E EQUIPAMENTOS. AF_02/2016</t>
  </si>
  <si>
    <t xml:space="preserve"> 93584 </t>
  </si>
  <si>
    <t>EXECUÇÃO DE DEPÓSITO EM CANTEIRO DE OBRA EM CHAPA DE MADEIRA COMPENSADA, NÃO INCLUSO MOBILIÁRIO. AF_04/2016</t>
  </si>
  <si>
    <t xml:space="preserve"> C1630 </t>
  </si>
  <si>
    <t>LOCAÇÃO DA OBRA - EXECUÇÃO DE GABARITO</t>
  </si>
  <si>
    <t xml:space="preserve"> 98525 </t>
  </si>
  <si>
    <t>LIMPEZA MECANIZADA DE CAMADA VEGETAL, VEGETAÇÃO E PEQUENAS ÁRVORES (DIÂMETRO DE TRONCO MENOR QUE 0,20 M), COM TRATOR DE ESTEIRAS.AF_05/2018</t>
  </si>
  <si>
    <t xml:space="preserve"> 2 </t>
  </si>
  <si>
    <t>MOVIMENTO DE TERRAS PARA FUNDAÇÕES</t>
  </si>
  <si>
    <t xml:space="preserve"> 94319 </t>
  </si>
  <si>
    <t>ATERRO MANUAL DE VALAS COM SOLO ARGILO-ARENOSO E COMPACTAÇÃO MECANIZADA. AF_05/2016</t>
  </si>
  <si>
    <t>m³</t>
  </si>
  <si>
    <t xml:space="preserve"> 93358 </t>
  </si>
  <si>
    <t>ESCAVAÇÃO MANUAL DE VALA COM PROFUNDIDADE MENOR OU IGUAL A 1,30 M. AF_02/2021</t>
  </si>
  <si>
    <t xml:space="preserve"> 93382 </t>
  </si>
  <si>
    <t>REATERRO MANUAL DE VALAS COM COMPACTAÇÃO MECANIZADA. AF_04/2016</t>
  </si>
  <si>
    <t xml:space="preserve"> 3 </t>
  </si>
  <si>
    <t>FUNDAÇÕES</t>
  </si>
  <si>
    <t xml:space="preserve"> 3.1 </t>
  </si>
  <si>
    <t>CONCRETO ARMADO PARA FUNDAÇÕES</t>
  </si>
  <si>
    <t xml:space="preserve"> 96619 </t>
  </si>
  <si>
    <t>LASTRO DE CONCRETO MAGRO, APLICADO EM BLOCOS DE COROAMENTO OU SAPATAS, ESPESSURA DE 5 CM. AF_08/2017</t>
  </si>
  <si>
    <t xml:space="preserve"> 96535 </t>
  </si>
  <si>
    <t>FABRICAÇÃO, MONTAGEM E DESMONTAGEM DE FÔRMA PARA SAPATA, EM MADEIRA SERRADA, E=25 MM, 4 UTILIZAÇÕES. AF_06/2017</t>
  </si>
  <si>
    <t xml:space="preserve"> 92916 </t>
  </si>
  <si>
    <t>ARMAÇÃO DE ESTRUTURAS DIVERSAS DE CONCRETO ARMADO, EXCETO VIGAS, PILARES, LAJES E FUNDAÇÕES, UTILIZANDO AÇO CA-50 DE 6,3 MM - MONTAGEM. AF_06/2022</t>
  </si>
  <si>
    <t>KG</t>
  </si>
  <si>
    <t xml:space="preserve"> 92917 </t>
  </si>
  <si>
    <t>ARMAÇÃO DE ESTRUTURAS DIVERSAS DE CONCRETO ARMADO, EXCETO VIGAS, PILARES, LAJES E FUNDAÇÕES, UTILIZANDO AÇO CA-50 DE 8,0 MM - MONTAGEM. AF_06/2022</t>
  </si>
  <si>
    <t xml:space="preserve"> 92919 </t>
  </si>
  <si>
    <t>ARMAÇÃO DE ESTRUTURAS DIVERSAS DE CONCRETO ARMADO, EXCETO VIGAS, PILARES, LAJES E FUNDAÇÕES, UTILIZANDO AÇO CA-50 DE 10,0 MM - MONTAGEM. AF_06/2022</t>
  </si>
  <si>
    <t xml:space="preserve"> 92921 </t>
  </si>
  <si>
    <t>ARMAÇÃO DE ESTRUTURAS DIVERSAS DE CONCRETO ARMADO, EXCETO VIGAS, PILARES, LAJES E FUNDAÇÕES, UTILIZANDO AÇO CA-50 DE 12,5 MM - MONTAGEM. AF_06/2022</t>
  </si>
  <si>
    <t xml:space="preserve"> 92915 </t>
  </si>
  <si>
    <t>ARMAÇÃO DE ESTRUTURAS DIVERSAS DE CONCRETO ARMADO, EXCETO VIGAS, PILARES, LAJES E FUNDAÇÕES, UTILIZANDO AÇO CA-60 DE 5,0 MM - MONTAGEM. AF_06/2022</t>
  </si>
  <si>
    <t xml:space="preserve"> 96558 </t>
  </si>
  <si>
    <t>CONCRETAGEM DE SAPATAS, FCK 30 MPA, COM USO DE BOMBA  LANÇAMENTO, ADENSAMENTO E ACABAMENTO. AF_11/2016</t>
  </si>
  <si>
    <t xml:space="preserve"> 3.2 </t>
  </si>
  <si>
    <t>CONCRETO ARMADO PARA FUNDAÇÕES - VIGAS BALDRAMES</t>
  </si>
  <si>
    <t xml:space="preserve"> 96536 </t>
  </si>
  <si>
    <t>FABRICAÇÃO, MONTAGEM E DESMONTAGEM DE FÔRMA PARA VIGA BALDRAME, EM MADEIRA SERRADA, E=25 MM, 4 UTILIZAÇÕES. AF_06/2017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</si>
  <si>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</si>
  <si>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</si>
  <si>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</si>
  <si>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BASE CAIXA D'ÁGUA</t>
  </si>
  <si>
    <t xml:space="preserve"> 4 </t>
  </si>
  <si>
    <t>SUPERESTRUTURA</t>
  </si>
  <si>
    <t xml:space="preserve"> 4.1 </t>
  </si>
  <si>
    <t>CONCRETO ARMADO - VIGAS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</si>
  <si>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</si>
  <si>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</si>
  <si>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92760 </t>
  </si>
  <si>
    <t>ARMAÇÃO DE PILAR OU VIGA DE ESTRUTURA CONVENCIONAL DE CONCRETO ARMADO UTILIZANDO AÇO CA-50 DE 6,3 MM - MONTAGEM. AF_06/2022</t>
  </si>
  <si>
    <t xml:space="preserve"> 92761 </t>
  </si>
  <si>
    <t>ARMAÇÃO DE PILAR OU VIGA DE ESTRUTURA CONVENCIONAL DE CONCRETO ARMADO UTILIZANDO AÇO CA-50 DE 8,0 MM - MONTAGEM. AF_06/2022</t>
  </si>
  <si>
    <t xml:space="preserve"> 92762 </t>
  </si>
  <si>
    <t>ARMAÇÃO DE PILAR OU VIGA DE ESTRUTURA CONVENCIONAL DE CONCRETO ARMADO UTILIZANDO AÇO CA-50 DE 10,0 MM - MONTAGEM. AF_06/2022</t>
  </si>
  <si>
    <t xml:space="preserve"> 92759 </t>
  </si>
  <si>
    <t>ARMAÇÃO DE PILAR OU VIGA DE ESTRUTURA CONVENCIONAL DE CONCRETO ARMADO UTILIZANDO AÇO CA-60 DE 5,0 MM - MONTAGEM. AF_06/2022</t>
  </si>
  <si>
    <t xml:space="preserve"> 103675 </t>
  </si>
  <si>
    <t>CONCRETAGEM DE VIGAS E LAJES, FCK=25 MPA, PARA LAJES MACIÇAS OU NERVURADAS COM USO DE BOMBA - LANÇAMENTO, ADENSAMENTO E ACABAMENTO. AF_02/2022_PS</t>
  </si>
  <si>
    <t xml:space="preserve"> 4.2 </t>
  </si>
  <si>
    <t>CONCRETO ARMADO - LAJES E PILARES</t>
  </si>
  <si>
    <t xml:space="preserve"> 92435 </t>
  </si>
  <si>
    <t>MONTAGEM E DESMONTAGEM DE FÔRMA DE PILARES RETANGULARES E ESTRUTURAS SIMILARES, PÉ-DIREITO SIMPLES, EM CHAPA DE MADEIRA COMPENSADA PLASTIFICADA, 12 UTILIZAÇÕES. AF_09/2020</t>
  </si>
  <si>
    <t xml:space="preserve"> 103672 </t>
  </si>
  <si>
    <t>CONCRETAGEM DE PILARES, FCK = 25 MPA, COM USO DE BOMBA - LANÇAMENTO, ADENSAMENTO E ACABAMENTO. AF_02/2022_PS</t>
  </si>
  <si>
    <t xml:space="preserve"> 4.3 </t>
  </si>
  <si>
    <t>CONCRETO ARMADO - LAJES DE FORRO</t>
  </si>
  <si>
    <t xml:space="preserve"> COM-A2023 </t>
  </si>
  <si>
    <t>Próprio</t>
  </si>
  <si>
    <t>LAJE PRÉ-MOLDADA P/FORRO, SOBRECARGA 100KG/M², VÃO ATÉ 3,50 M/E = 8CM, COM LAJOTAS E CAPA C/ CONC. FCK=20MPA, 3CM, INTER-EIXO 38CM, C/ESCORAMENTO (REAPR. 3X) E FERRAGEM-PREÇO 02/23 - SINAPI/PB. (M²)</t>
  </si>
  <si>
    <t>M²</t>
  </si>
  <si>
    <t xml:space="preserve"> 4.4 </t>
  </si>
  <si>
    <t>CONCRTEO ARMADO - VERGAS E CONTRAVERGAS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</si>
  <si>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</si>
  <si>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</si>
  <si>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</si>
  <si>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</si>
  <si>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</si>
  <si>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103322 </t>
  </si>
  <si>
    <t>ALVENARIA DE VEDAÇÃO DE BLOCOS CERÂMICOS FURADOS NA VERTICAL DE 9X19X39 CM (ESPESSURA 9 CM) E ARGAMASSA DE ASSENTAMENTO COM PREPARO EM BETONEIRA. AF_12/2021</t>
  </si>
  <si>
    <t xml:space="preserve"> 93202 </t>
  </si>
  <si>
    <t>FIXAÇÃO (ENCUNHAMENTO) DE ALVENARIA DE VEDAÇÃO COM TIJOLO MACIÇO. AF_03/2016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</si>
  <si>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</si>
  <si>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</si>
  <si>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</si>
  <si>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</si>
  <si>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</si>
  <si>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</si>
  <si>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90843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</si>
  <si>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</si>
  <si>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91314 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</si>
  <si>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</si>
  <si>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 xml:space="preserve"> COM-B2023 </t>
  </si>
  <si>
    <t>PM4 - PORTA DE ABRIR EM MADEIRA PARA PINTURA 0,6 X 2,1M, ESPESSURA DE 3,5 CM, COM VENEZIANA 0,5 X 0,40M, CONFORMA PROJETO, INCLUSO DOBRADIÇAS, BATENTES E FECHADURAS</t>
  </si>
  <si>
    <t xml:space="preserve"> 100692 </t>
  </si>
  <si>
    <t>KIT DE PORTA DE MADEIRA TIPO VENEZIANA, 80X210CM (ESPESSURA DE 3CM), PADRÃO POPULAR, ITENS INCLUSOS: DOBRADIÇAS, MONTAGEM E INSTALAÇÃO DE BATENTE, FECHADURA COM EXECUÇÃO DO FURO - FORNECIMENTO E INSTALAÇÃO. AF_12/2019</t>
  </si>
  <si>
    <t xml:space="preserve"> COM-C2023 </t>
  </si>
  <si>
    <t>PM6 - PORTA DE ABRIR EM CHAPA DE MADEIRA COMPENSADA PARA BANHEIRO REVESTIDA COM LAMINADO 0,6 X 1,60 M, INCLUSO MARCO E DOBRADIÇAS. (REF. SINAPI/02/2023, SBC 04/2023)(UN)</t>
  </si>
  <si>
    <t xml:space="preserve"> COM-D2023 </t>
  </si>
  <si>
    <t>PM7 - PORTA DE ABRIR EM CHAPA DE MADEIRA COMPENSADA PARA BANHEIRO REVESTIDA COM LAMINADO 0,80 X 1,60 M, INCLUSO MARCO E DOBRADIÇAS</t>
  </si>
  <si>
    <t xml:space="preserve"> 6.2 </t>
  </si>
  <si>
    <t>FERRAGENS E ACESSÓRIOS</t>
  </si>
  <si>
    <t xml:space="preserve"> 100874 </t>
  </si>
  <si>
    <t>PUXADOR PARA PCD, FIXADO NA PORTA - FORNECIMENTO E INSTALAÇÃO. AF_01/2020</t>
  </si>
  <si>
    <t xml:space="preserve"> COM-E2023 </t>
  </si>
  <si>
    <t>FECHADURA DE EMBUTIR COMPLETA, TIPO TARJETA LIVRE - OCUPADO</t>
  </si>
  <si>
    <t xml:space="preserve"> COM-F2023 </t>
  </si>
  <si>
    <t>CHAPA MATÁLICA (ALUMÍNIO) 0,80M 0,40 MM, E= 1MM PARA AS PORTAS</t>
  </si>
  <si>
    <t xml:space="preserve"> 6.3 </t>
  </si>
  <si>
    <t>PORTAS DE ALUMÍNIO</t>
  </si>
  <si>
    <t xml:space="preserve"> 11947 </t>
  </si>
  <si>
    <t>Porta em alumínio, cor N/P/B, tipo veneziana (até 50%) e vidro (até 50%), de abrir ou correr, completa, inclusive caixilhos, dobradiças ou roldanas, fechadura exclusive vidro</t>
  </si>
  <si>
    <t xml:space="preserve"> 6.4 </t>
  </si>
  <si>
    <t>JANELAS DE ALUMÍNIO</t>
  </si>
  <si>
    <t xml:space="preserve"> 94569 </t>
  </si>
  <si>
    <t>JANELA DE ALUMÍNIO TIPO MAXIM-AR, COM VIDROS, BATENTE E FERRAGENS. EXCLUSIVE ALIZAR, ACABAMENTO E CONTRAMARCO. FORNECIMENTO E INSTALAÇÃO. AF_12/2019</t>
  </si>
  <si>
    <t xml:space="preserve"> 94570 </t>
  </si>
  <si>
    <t>JANELA DE ALUMÍNIO DE CORRER COM 2 FOLHAS PARA VIDROS, COM VIDROS, BATENTE, ACABAMENTO COM ACETATO OU BRILHANTE E FERRAGENS. EXCLUSIVE ALIZAR E CONTRAMARCO. FORNECIMENTO E INSTALAÇÃO. AF_12/2019</t>
  </si>
  <si>
    <t xml:space="preserve"> C1516 </t>
  </si>
  <si>
    <t>JANELA DE ALUMÍNIO, TIPO VENEZIANA</t>
  </si>
  <si>
    <t xml:space="preserve"> 100674 </t>
  </si>
  <si>
    <t>JANELA FIXA DE ALUMÍNIO PARA VIDRO, COM VIDRO, BATENTE E FERRAGENS. EXCLUSIVE ACABAMENTO, ALIZAR E CONTRAMARCO. FORNECIMENTO E INSTALAÇÃO. AF_12/2019</t>
  </si>
  <si>
    <t xml:space="preserve"> 1897 </t>
  </si>
  <si>
    <t>Tela de nylon tipo mosquiteiro com moldura em madeira, para esquadrias - Rev 01</t>
  </si>
  <si>
    <t xml:space="preserve"> 6.5 </t>
  </si>
  <si>
    <t>VIDROS</t>
  </si>
  <si>
    <t xml:space="preserve"> C4949 </t>
  </si>
  <si>
    <t>VIDRO TEMPERADO INCOLOR C/MASSA E=6MM, COLOCADO</t>
  </si>
  <si>
    <t xml:space="preserve"> C4835 </t>
  </si>
  <si>
    <t>ESPELHO CRISTAL, ESPESSURA 4MM, COM PARAFUSOS DE FIXAÇÃO, SEM MOLDURA</t>
  </si>
  <si>
    <t xml:space="preserve"> 7 </t>
  </si>
  <si>
    <t>SISTEMAS DE COBERTURA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</si>
  <si>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</si>
  <si>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</si>
  <si>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</si>
  <si>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</si>
  <si>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</si>
  <si>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</si>
  <si>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92584 </t>
  </si>
  <si>
    <t>FABRICAÇÃO E INSTALAÇÃO DE TESOURA INTEIRA EM AÇO, VÃO DE 4 M, PARA TELHA CERÂMICA OU DE CONCRETO, INCLUSO IÇAMENTO. AF_12/2015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</si>
  <si>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</si>
  <si>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</si>
  <si>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102213 </t>
  </si>
  <si>
    <t>PINTURA VERNIZ (INCOLOR) ALQUÍDICO EM MADEIRA, USO INTERNO E EXTERNO, 2 DEMÃOS. AF_01/2021</t>
  </si>
  <si>
    <t xml:space="preserve"> 94442 </t>
  </si>
  <si>
    <t>TELHAMENTO COM TELHA CERÂMICA DE ENCAIXE, TIPO ROMANA, COM ATÉ 2 ÁGUAS, INCLUSO TRANSPORTE VERTICAL. AF_07/2019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</si>
  <si>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</si>
  <si>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</si>
  <si>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</si>
  <si>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</si>
  <si>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C2472 </t>
  </si>
  <si>
    <t>TINTA DE BASE ASFÁLTICA 2 DEMÃOS C/BROXA</t>
  </si>
  <si>
    <t xml:space="preserve"> 9 </t>
  </si>
  <si>
    <t>REVESTIMENTOS INTERNOS E EXTERNOS</t>
  </si>
  <si>
    <t xml:space="preserve"> 87878 </t>
  </si>
  <si>
    <t>CHAPISCO APLICADO EM ALVENARIAS E ESTRUTURAS DE CONCRETO INTERNAS, COM COLHER DE PEDREIRO.  ARGAMASSA TRAÇO 1:3 COM PREPARO MANUAL. AF_10/2022</t>
  </si>
  <si>
    <t xml:space="preserve"> 87881 </t>
  </si>
  <si>
    <t>CHAPISCO APLICADO NO TETO OU EM ALVENARIA E ESTRUTURA, COM ROLO PARA TEXTURA ACRÍLICA. ARGAMASSA TRAÇO 1:4 E EMULSÃO POLIMÉRICA (ADESIVO) COM PREPARO MANUAL. AF_10/2022</t>
  </si>
  <si>
    <t xml:space="preserve"> 87535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</si>
  <si>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</si>
  <si>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87543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</si>
  <si>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</si>
  <si>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</si>
  <si>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</si>
  <si>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87267 </t>
  </si>
  <si>
    <t>REVESTIMENTO CERÂMICO PARA PAREDES INTERNAS COM PLACAS TIPO ESMALTADA EXTRA DE DIMENSÕES 20X20 CM APLICADAS A MEIA ALTURA DAS PAREDES. AF_02/2023_PE</t>
  </si>
  <si>
    <t xml:space="preserve"> 101739 </t>
  </si>
  <si>
    <t>RODAPÉ EM MADEIRA, ALTURA 7CM, FIXADO COM COLA E PARAFUSOS. AF_09/2020</t>
  </si>
  <si>
    <t xml:space="preserve"> 10 </t>
  </si>
  <si>
    <t>SISTEMAS DE PISOS</t>
  </si>
  <si>
    <t xml:space="preserve"> 10.1 </t>
  </si>
  <si>
    <t>PAVIMENTAÇÃO INTERNA</t>
  </si>
  <si>
    <t xml:space="preserve"> 87630 </t>
  </si>
  <si>
    <t>CONTRAPISO EM ARGAMASSA TRAÇO 1:4 (CIMENTO E AREIA), PREPARO MECÂNICO COM BETONEIRA 400 L, APLICADO EM ÁREAS SECAS SOBRE LAJE, ADERIDO, ACABAMENTO NÃO REFORÇADO, ESPESSURA 3CM. AF_07/2021</t>
  </si>
  <si>
    <t xml:space="preserve"> 98679 </t>
  </si>
  <si>
    <t>PISO CIMENTADO, TRAÇO 1:3 (CIMENTO E AREIA), ACABAMENTO LISO, ESPESSURA 2,0 CM, PREPARO MECÂNICO DA ARGAMASSA. AF_09/2020</t>
  </si>
  <si>
    <t xml:space="preserve"> 87251 </t>
  </si>
  <si>
    <t>REVESTIMENTO CERÂMICO PARA PISO COM PLACAS TIPO ESMALTADA EXTRA DE DIMENSÕES 45X45 CM APLICADA EM AMBIENTES DE ÁREA MAIOR QUE 10 M2. AF_02/2023_PE</t>
  </si>
  <si>
    <t xml:space="preserve"> C4623 </t>
  </si>
  <si>
    <t>PISO PODOTÁTIL INTERNO EM BORRACHA 30x30cm ASSENTAMENTO COM COLA VINIL (FORNECIMENTO E ASSENTAMENTO)</t>
  </si>
  <si>
    <t xml:space="preserve"> C4624 </t>
  </si>
  <si>
    <t>PISO PODOTÁTIL EXTERNO EM PMC ESP. 3CM, ASSENTADO COM ARGAMASSA (FORNECIMENTO E ASSENTAMENTO)</t>
  </si>
  <si>
    <t xml:space="preserve"> C2284 </t>
  </si>
  <si>
    <t>SOLEIRA DE GRANITO L= 15cm</t>
  </si>
  <si>
    <t xml:space="preserve"> 10.2 </t>
  </si>
  <si>
    <t>PAVIMENTAÇÃO EXTERNA</t>
  </si>
  <si>
    <t xml:space="preserve"> 94990 </t>
  </si>
  <si>
    <t>EXECUÇÃO DE PASSEIO (CALÇADA) OU PISO DE CONCRETO COM CONCRETO MOLDADO IN LOCO, FEITO EM OBRA, ACABAMENTO CONVENCIONAL, NÃO ARMADO. AF_08/2022</t>
  </si>
  <si>
    <t xml:space="preserve"> 94963 </t>
  </si>
  <si>
    <t>CONCRETO FCK = 15MPA, TRAÇO 1:3,4:3,5 (EM MASSA SECA DE CIMENTO/ AREIA MÉDIA/ BRITA 1) - PREPARO MECÂNICO COM BETONEIRA 400 L. AF_05/2021</t>
  </si>
  <si>
    <t xml:space="preserve"> 94263 </t>
  </si>
  <si>
    <t>GUIA (MEIO-FIO) CONCRETO, MOLDADA  IN LOCO  EM TRECHO RETO COM EXTRUSORA, 13 CM BASE X 22 CM ALTURA. AF_06/2016</t>
  </si>
  <si>
    <t xml:space="preserve"> 94968 </t>
  </si>
  <si>
    <t>CONCRETO MAGRO PARA LASTRO, TRAÇO 1:4,5:4,5 (EM MASSA SECA DE CIMENTO/ AREIA MÉDIA/ BRITA 1) - PREPARO MECÂNICO COM BETONEIRA 600 L. AF_05/2021</t>
  </si>
  <si>
    <t xml:space="preserve"> 11 </t>
  </si>
  <si>
    <t>PINTURAS E ACABAMENTOS</t>
  </si>
  <si>
    <t xml:space="preserve"> 96123 </t>
  </si>
  <si>
    <t>ACABAMENTOS PARA FORRO (MOLDURA EM DRYWALL, COM LARGURA DE 15 CM). AF_05/2017_PS</t>
  </si>
  <si>
    <t xml:space="preserve"> 88489 </t>
  </si>
  <si>
    <t>PINTURA LÁTEX ACRÍLICA PREMIUM, APLICAÇÃO MANUAL EM PAREDES, DUAS DEMÃOS. AF_04/2023</t>
  </si>
  <si>
    <t xml:space="preserve"> 88488 </t>
  </si>
  <si>
    <t>PINTURA LÁTEX ACRÍLICA PREMIUM, APLICAÇÃO MANUAL EM TETO, DUAS DEMÃOS. AF_04/2023</t>
  </si>
  <si>
    <t xml:space="preserve"> 102219 </t>
  </si>
  <si>
    <t>PINTURA TINTA DE ACABAMENTO (PIGMENTADA) ESMALTE SINTÉTICO ACETINADO EM MADEIRA, 2 DEMÃOS. AF_01/2021</t>
  </si>
  <si>
    <t xml:space="preserve"> 100742 </t>
  </si>
  <si>
    <t>PINTURA COM TINTA ALQUÍDICA DE ACABAMENTO (ESMALTE SINTÉTICO ACETINADO) APLICADA A ROLO OU PINCEL SOBRE SUPERFÍCIES METÁLICAS (EXCETO PERFIL) EXECUTADO EM OBRA (POR DEMÃO). AF_01/2020</t>
  </si>
  <si>
    <t xml:space="preserve"> 12 </t>
  </si>
  <si>
    <t>INSTALAÇÕES HIDRÁULICAS</t>
  </si>
  <si>
    <t xml:space="preserve"> 89401 </t>
  </si>
  <si>
    <t>TUBO, PVC, SOLDÁVEL, DN 20MM, INSTALADO EM RAMAL DE DISTRIBUIÇÃO DE ÁGUA - FORNECIMENTO E INSTALAÇÃO. AF_06/2022</t>
  </si>
  <si>
    <t xml:space="preserve"> 89446 </t>
  </si>
  <si>
    <t>TUBO, PVC, SOLDÁVEL, DN 25MM, INSTALADO EM PRUMADA DE ÁGUA - FORNECIMENTO E INSTALAÇÃO. AF_06/2022</t>
  </si>
  <si>
    <t xml:space="preserve"> 89447 </t>
  </si>
  <si>
    <t>TUBO, PVC, SOLDÁVEL, DN 32MM, INSTALADO EM PRUMADA DE ÁGUA - FORNECIMENTO E INSTALAÇÃO. AF_06/2022</t>
  </si>
  <si>
    <t xml:space="preserve"> 89448 </t>
  </si>
  <si>
    <t>TUBO, PVC, SOLDÁVEL, DN 40MM, INSTALADO EM PRUMADA DE ÁGUA - FORNECIMENTO E INSTALAÇÃO. AF_06/2022</t>
  </si>
  <si>
    <t xml:space="preserve"> 89449 </t>
  </si>
  <si>
    <t>TUBO, PVC, SOLDÁVEL, DN 50MM, INSTALADO EM PRUMADA DE ÁGUA - FORNECIMENTO E INSTALAÇÃO. AF_06/2022</t>
  </si>
  <si>
    <t xml:space="preserve"> 89450 </t>
  </si>
  <si>
    <t>TUBO, PVC, SOLDÁVEL, DN 60MM, INSTALADO EM PRUMADA DE ÁGUA - FORNECIMENTO E INSTALAÇÃO. AF_06/2022</t>
  </si>
  <si>
    <t xml:space="preserve"> 89404 </t>
  </si>
  <si>
    <t>JOELHO 90 GRAUS, PVC, SOLDÁVEL, DN 20MM, INSTALADO EM RAMAL DE DISTRIBUIÇÃO DE ÁGUA - FORNECIMENTO E INSTALAÇÃO. AF_06/2022</t>
  </si>
  <si>
    <t xml:space="preserve"> 89481 </t>
  </si>
  <si>
    <t>JOELHO 90 GRAUS, PVC, SOLDÁVEL, DN 25MM, INSTALADO EM PRUMADA DE ÁGUA - FORNECIMENTO E INSTALAÇÃO. AF_06/2022</t>
  </si>
  <si>
    <t xml:space="preserve"> 89492 </t>
  </si>
  <si>
    <t>JOELHO 90 GRAUS, PVC, SOLDÁVEL, DN 32MM, INSTALADO EM PRUMADA DE ÁGUA - FORNECIMENTO E INSTALAÇÃO. AF_06/2022</t>
  </si>
  <si>
    <t xml:space="preserve"> 89497 </t>
  </si>
  <si>
    <t>JOELHO 90 GRAUS, PVC, SOLDÁVEL, DN 40MM, INSTALADO EM PRUMADA DE ÁGUA - FORNECIMENTO E INSTALAÇÃO. AF_06/2022</t>
  </si>
  <si>
    <t xml:space="preserve"> 89505 </t>
  </si>
  <si>
    <t>JOELHO 90 GRAUS, PVC, SOLDÁVEL, DN 60MM, INSTALADO EM PRUMADA DE ÁGUA - FORNECIMENTO E INSTALAÇÃO. AF_06/2022</t>
  </si>
  <si>
    <t xml:space="preserve"> 89397 </t>
  </si>
  <si>
    <t>TÊ DE REDUÇÃO, PVC, SOLDÁVEL, DN 25MM X 20MM, INSTALADO EM RAMAL OU SUB-RAMAL DE ÁGUA - FORNECIMENTO E INSTALAÇÃO. AF_06/2022</t>
  </si>
  <si>
    <t xml:space="preserve"> 89622 </t>
  </si>
  <si>
    <t>TÊ DE REDUÇÃO, PVC, SOLDÁVEL, DN 32MM X 25MM, INSTALADO EM PRUMADA DE ÁGUA - FORNECIMENTO E INSTALAÇÃO. AF_06/2022</t>
  </si>
  <si>
    <t xml:space="preserve"> 89626 </t>
  </si>
  <si>
    <t>TÊ DE REDUÇÃO, PVC, SOLDÁVEL, DN 50MM X 40MM, INSTALADO EM PRUMADA DE ÁGUA - FORNECIMENTO E INSTALAÇÃO. AF_06/2022</t>
  </si>
  <si>
    <t xml:space="preserve"> 89627 </t>
  </si>
  <si>
    <t>TÊ DE REDUÇÃO, PVC, SOLDÁVEL, DN 50MM X 25MM, INSTALADO EM PRUMADA DE ÁGUA - FORNECIMENTO E INSTALAÇÃO. AF_06/2022</t>
  </si>
  <si>
    <t xml:space="preserve"> 89630 </t>
  </si>
  <si>
    <t>TE DE REDUÇÃO, PVC, SOLDÁVEL, DN 75MM X 50MM, INSTALADO EM PRUMADA DE ÁGUA - FORNECIMENTO E INSTALAÇÃO. AF_06/2022</t>
  </si>
  <si>
    <t xml:space="preserve"> 89438 </t>
  </si>
  <si>
    <t>TE, PVC, SOLDÁVEL, DN 20MM, INSTALADO EM RAMAL DE DISTRIBUIÇÃO DE ÁGUA - FORNECIMENTO E INSTALAÇÃO. AF_06/2022</t>
  </si>
  <si>
    <t xml:space="preserve"> 89617 </t>
  </si>
  <si>
    <t>TE, PVC, SOLDÁVEL, DN 25MM, INSTALADO EM PRUMADA DE ÁGUA - FORNECIMENTO E INSTALAÇÃO. AF_06/2022</t>
  </si>
  <si>
    <t xml:space="preserve"> 89623 </t>
  </si>
  <si>
    <t>TE, PVC, SOLDÁVEL, DN 40MM, INSTALADO EM PRUMADA DE ÁGUA - FORNECIMENTO E INSTALAÇÃO. AF_06/2022</t>
  </si>
  <si>
    <t xml:space="preserve"> 89628 </t>
  </si>
  <si>
    <t>TE, PVC, SOLDÁVEL, DN 60MM, INSTALADO EM PRUMADA DE ÁGUA - FORNECIMENTO E INSTALAÇÃO. AF_06/2022</t>
  </si>
  <si>
    <t xml:space="preserve"> 94495 </t>
  </si>
  <si>
    <t>REGISTRO DE GAVETA BRUTO, LATÃO, ROSCÁVEL, 1" - FORNECIMENTO E INSTALAÇÃO. AF_08/2021</t>
  </si>
  <si>
    <t xml:space="preserve"> 94496 </t>
  </si>
  <si>
    <t>REGISTRO DE GAVETA BRUTO, LATÃO, ROSCÁVEL, 1 1/4" - FORNECIMENTO E INSTALAÇÃO. AF_08/2021</t>
  </si>
  <si>
    <t xml:space="preserve"> 94497 </t>
  </si>
  <si>
    <t>REGISTRO DE GAVETA BRUTO, LATÃO, ROSCÁVEL, 1 1/2" - FORNECIMENTO E INSTALAÇÃO. AF_08/2021</t>
  </si>
  <si>
    <t xml:space="preserve"> 94498 </t>
  </si>
  <si>
    <t>REGISTRO DE GAVETA BRUTO, LATÃO, ROSCÁVEL, 2" - FORNECIMENTO E INSTALAÇÃO. AF_08/2021</t>
  </si>
  <si>
    <t xml:space="preserve"> 94499 </t>
  </si>
  <si>
    <t>REGISTRO DE GAVETA BRUTO, LATÃO, ROSCÁVEL, 2 1/2" - FORNECIMENTO E INSTALAÇÃO. AF_08/2021</t>
  </si>
  <si>
    <t xml:space="preserve"> 89985 </t>
  </si>
  <si>
    <t>REGISTRO DE PRESSÃO BRUTO, LATÃO, ROSCÁVEL, 3/4", COM ACABAMENTO E CANOPLA CROMADOS - FORNECIMENTO E INSTALAÇÃO. AF_08/2021</t>
  </si>
  <si>
    <t xml:space="preserve"> COTAÇÃO </t>
  </si>
  <si>
    <t>CAIXA  DE ÁGUA METÁLICA COMPLETA 15.000 LITROS, PREÇO UNITÁRIO CONFORME MÉDIAS DAS COTAÇÕES</t>
  </si>
  <si>
    <t xml:space="preserve"> 13 </t>
  </si>
  <si>
    <t>INSTALAÇÕES SANITÁRIAS</t>
  </si>
  <si>
    <t xml:space="preserve"> 89711 </t>
  </si>
  <si>
    <t>TUBO PVC, SERIE NORMAL, ESGOTO PREDIAL, DN 40 MM, FORNECIDO E INSTALADO EM RAMAL DE DESCARGA OU RAMAL DE ESGOTO SANITÁRIO. AF_08/2022</t>
  </si>
  <si>
    <t xml:space="preserve"> 89712 </t>
  </si>
  <si>
    <t>TUBO PVC, SERIE NORMAL, ESGOTO PREDIAL, DN 50 MM, FORNECIDO E INSTALADO EM RAMAL DE DESCARGA OU RAMAL DE ESGOTO SANITÁRIO. AF_08/2022</t>
  </si>
  <si>
    <t xml:space="preserve"> 89848 </t>
  </si>
  <si>
    <t>TUBO PVC, SERIE NORMAL, ESGOTO PREDIAL, DN 100 MM, FORNECIDO E INSTALADO EM SUBCOLETOR AÉREO DE ESGOTO SANITÁRIO. AF_08/2022</t>
  </si>
  <si>
    <t xml:space="preserve"> 89849 </t>
  </si>
  <si>
    <t>TUBO PVC, SERIE NORMAL, ESGOTO PREDIAL, DN 150 MM, FORNECIDO E INSTALADO EM SUBCOLETOR AÉREO DE ESGOTO SANITÁRIO. AF_08/2022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</si>
  <si>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</si>
  <si>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</si>
  <si>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</si>
  <si>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</si>
  <si>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</si>
  <si>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</si>
  <si>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89783 </t>
  </si>
  <si>
    <t>JUNÇÃO SIMPLES, PVC, SERIE NORMAL, ESGOTO PREDIAL, DN 40 MM, JUNTA SOLDÁVEL, FORNECIDO E INSTALADO EM RAMAL DE DESCARGA OU RAMAL DE ESGOTO SANITÁRIO. AF_08/2022</t>
  </si>
  <si>
    <t xml:space="preserve"> 89834 </t>
  </si>
  <si>
    <t>JUNÇÃO SIMPLES, PVC, SERIE NORMAL, ESGOTO PREDIAL, DN 100 X 100 MM, JUNTA ELÁSTICA, FORNECIDO E INSTALADO EM PRUMADA DE ESGOTO SANITÁRIO OU VENTILAÇÃO. AF_08/2022</t>
  </si>
  <si>
    <t xml:space="preserve"> 89707 </t>
  </si>
  <si>
    <t>CAIXA SIFONADA, PVC, DN 100 X 100 X 50 MM, JUNTA ELÁSTICA, FORNECIDA E INSTALADA EM RAMAL DE DESCARGA OU EM RAMAL DE ESGOTO SANITÁRIO. AF_08/2022</t>
  </si>
  <si>
    <t xml:space="preserve"> 89709 </t>
  </si>
  <si>
    <t>RALO SIFONADO, PVC, DN 100 X 40 MM, JUNTA SOLDÁVEL, FORNECIDO E INSTALADO EM RAMAL DE DESCARGA OU EM RAMAL DE ESGOTO SANITÁRIO. AF_08/2022</t>
  </si>
  <si>
    <t xml:space="preserve"> C3738 </t>
  </si>
  <si>
    <t>INSTALAÇÃO DE TUBO DE VENTILAÇÃO 50mm C/ L=4m, C/ REBOCO E PINTURA A CAL (C/ MATERIAL)</t>
  </si>
  <si>
    <t xml:space="preserve"> C0604 </t>
  </si>
  <si>
    <t>CAIXA DE INSPEÇÃO EM ALVENARIA - 1 TIJOLO COMUM</t>
  </si>
  <si>
    <t xml:space="preserve"> 98110 </t>
  </si>
  <si>
    <t>CAIXA DE GORDURA PEQUENA (CAPACIDADE: 19 L), CIRCULAR, EM PVC, DIÂMETRO INTERNO= 0,3 M. AF_12/2020</t>
  </si>
  <si>
    <t xml:space="preserve"> 98099 </t>
  </si>
  <si>
    <t>SUMIDOURO RETANGULAR, EM ALVENARIA COM BLOCOS DE CONCRETO, DIMENSÕES INTERNAS: 1,0 X 3,0 X H=3,0 M, ÁREA DE INFILTRAÇÃO: 25 M² (PARA 10 CONTRIBUINTES). AF_12/2020</t>
  </si>
  <si>
    <t xml:space="preserve"> 98087 </t>
  </si>
  <si>
    <t>TANQUE SÉPTICO RETANGULAR, EM ALVENARIA COM BLOCOS DE CONCRETO, DIMENSÕES INTERNAS: 1,6 X 4,6 X H=2,4 M, VOLUME ÚTIL: 14720 L (PARA 105 CONTRIBUINTES). AF_12/2020</t>
  </si>
  <si>
    <t xml:space="preserve"> C4026 </t>
  </si>
  <si>
    <t>CANALETA DE CONCRETO 20cm x 20cm C/ TAMPA EM CHAPA DE ALUMÍNIO CORRUGADO</t>
  </si>
  <si>
    <t xml:space="preserve"> 14 </t>
  </si>
  <si>
    <t>LOUÇAS, ACESSÓRIOS E METAIS</t>
  </si>
  <si>
    <t xml:space="preserve"> C1151 </t>
  </si>
  <si>
    <t>DUCHA P/ WC CROMADO (INSTALADO)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</si>
  <si>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</si>
  <si>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</si>
  <si>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99635 </t>
  </si>
  <si>
    <t>VÁLVULA DE DESCARGA METÁLICA, BASE 1 1/2", ACABAMENTO METALICO CROMADO - FORNECIMENTO E INSTALAÇÃO. AF_08/2021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</si>
  <si>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</si>
  <si>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</si>
  <si>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100858 </t>
  </si>
  <si>
    <t>MICTÓRIO SIFONADO LOUÇA BRANCA  PADRÃO MÉDIO 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</si>
  <si>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</si>
  <si>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</si>
  <si>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86901 </t>
  </si>
  <si>
    <t>CUBA DE EMBUTIR OVAL EM LOUÇA BRANCA, 35 X 50CM OU EQUIVALENTE - FORNECIMENTO E INSTALAÇÃO. AF_01/2020</t>
  </si>
  <si>
    <t xml:space="preserve"> 86906 </t>
  </si>
  <si>
    <t>TORNEIRA CROMADA DE MESA, 1/2 OU 3/4, PARA LAVATÓRIO, PADRÃO POPULAR - FORNECIMENTO E INSTALAÇÃO. AF_01/2020</t>
  </si>
  <si>
    <t xml:space="preserve"> 95544 </t>
  </si>
  <si>
    <t>PAPELEIRA DE PAREDE EM METAL CROMADO SEM TAMPA, INCLUSO FIXAÇÃO. AF_01/2020</t>
  </si>
  <si>
    <t xml:space="preserve"> 100868 </t>
  </si>
  <si>
    <t>BARRA DE APOIO RETA, EM ACO INOX POLIDO, COMPRIMENTO 80 CM,  FIXADA NA PAREDE - FORNECIMENTO E INSTALAÇÃO. AF_01/2020</t>
  </si>
  <si>
    <t xml:space="preserve"> 100864 </t>
  </si>
  <si>
    <t>BARRA DE APOIO EM "L", EM ACO INOX POLIDO 80 X 80 CM, FIXADA NA PAREDE - FORNECIMENTO E INSTALACAO. AF_01/2020</t>
  </si>
  <si>
    <t xml:space="preserve"> 4287 </t>
  </si>
  <si>
    <t>Dispenser para toalha interfolhada</t>
  </si>
  <si>
    <t>un</t>
  </si>
  <si>
    <t xml:space="preserve"> 95547 </t>
  </si>
  <si>
    <t>SABONETEIRA PLASTICA TIPO DISPENSER PARA SABONETE LIQUIDO COM RESERVATORIO 800 A 1500 ML, INCLUSO FIXAÇÃO. AF_01/2020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</si>
  <si>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</si>
  <si>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</si>
  <si>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</si>
  <si>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</si>
  <si>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86909 </t>
  </si>
  <si>
    <t>TORNEIRA CROMADA TUBO MÓVEL, DE MESA, 1/2 OU 3/4, PARA PIA DE COZINHA, PADRÃO ALTO - FORNECIMENTO E INSTALAÇÃO. AF_01/2020</t>
  </si>
  <si>
    <t xml:space="preserve"> C2507 </t>
  </si>
  <si>
    <t>TORNEIRA ELÉTRICA AUTOMÁTICA 220V-2800W (INSTALADO)</t>
  </si>
  <si>
    <t xml:space="preserve"> 2025 </t>
  </si>
  <si>
    <t>Chuveiro elétrico de plástico (lorenzetti ou similar)</t>
  </si>
  <si>
    <t xml:space="preserve"> 86915 </t>
  </si>
  <si>
    <t>TORNEIRA CROMADA DE MESA, 1/2 OU 3/4, PARA LAVATÓRIO, PADRÃO MÉDIO - FORNECIMENTO E INSTALAÇÃO. AF_01/2020</t>
  </si>
  <si>
    <t xml:space="preserve"> 15 </t>
  </si>
  <si>
    <t>INSTALAÇÃO DE GÁS COMBUSTÍVEL</t>
  </si>
  <si>
    <t xml:space="preserve"> 94970 </t>
  </si>
  <si>
    <t>CONCRETO FCK = 20MPA, TRAÇO 1:2,7:3 (EM MASSA SECA DE CIMENTO/ AREIA MÉDIA/ BRITA 1) - PREPARO MECÂNICO COM BETONEIRA 600 L. AF_05/2021</t>
  </si>
  <si>
    <t xml:space="preserve"> 91341 </t>
  </si>
  <si>
    <t>PORTA EM ALUMÍNIO DE ABRIR TIPO VENEZIANA COM GUARNIÇÃO, FIXAÇÃO COM PARAFUSOS - FORNECIMENTO E INSTALAÇÃO. AF_12/2019</t>
  </si>
  <si>
    <t xml:space="preserve"> 92688 </t>
  </si>
  <si>
    <t>TUBO DE AÇO GALVANIZADO COM COSTURA, CLASSE MÉDIA, CONEXÃO ROSQUEADA, DN 20 (3/4"), INSTALADO EM RAMAIS E SUB-RAMAIS DE GÁS - FORNECIMENTO E INSTALAÇÃO. AF_10/2020</t>
  </si>
  <si>
    <t xml:space="preserve"> 92693 </t>
  </si>
  <si>
    <t>LUVA, EM FERRO GALVANIZADO, CONEXÃO ROSQUEADA, DN 15 (1/2"), INSTALADO EM RAMAIS E SUB-RAMAIS DE GÁS - FORNECIMENTO E INSTALAÇÃO. AF_10/2020</t>
  </si>
  <si>
    <t xml:space="preserve"> COM-H2023 </t>
  </si>
  <si>
    <t>FITA ANTICORROSIVA 5CM POR 30M, DUAS CAMADAS</t>
  </si>
  <si>
    <t xml:space="preserve"> C1250 </t>
  </si>
  <si>
    <t>ENVELOPE DE CONCRETO P/PROTEÇÃO DE TUBO PVC ENTERRADO</t>
  </si>
  <si>
    <t xml:space="preserve"> 101917 </t>
  </si>
  <si>
    <t>MANÔMETRO 0 A 200 PSI (0 A 14 KGF/CM2), D = 50MM - FORNECIMENTO E INSTALAÇÃO. AF_10/2020</t>
  </si>
  <si>
    <t xml:space="preserve"> 10881 </t>
  </si>
  <si>
    <t>Regulador de gás 2º estágio de 7 kg/h (instalação gás)</t>
  </si>
  <si>
    <t xml:space="preserve"> COM-I2023 </t>
  </si>
  <si>
    <t>INSTALAÇÃO BÁSICA PARA ABRIGO DE GÁS (CAPACIDADE 2 CILINDROS GLP DE 45 KG)</t>
  </si>
  <si>
    <t xml:space="preserve"> COM-J2023 </t>
  </si>
  <si>
    <t>PLACA DE SINALIZAÇÃO EM PVC COD 01(500 X 300 MM) - PROIBIDO FUMAR</t>
  </si>
  <si>
    <t xml:space="preserve"> COM-K2023 </t>
  </si>
  <si>
    <t>PLACA DE SINALIZAÇÃO EM PVC COD 06 (500X300)MM - PERIGO INFLAMÁVEL</t>
  </si>
  <si>
    <t xml:space="preserve"> 16 </t>
  </si>
  <si>
    <t>SISTEMA DE PROTEÇÃO CONTRA INCÊNDIO</t>
  </si>
  <si>
    <t xml:space="preserve"> 101909 </t>
  </si>
  <si>
    <t>EXTINTOR DE INCÊNDIO PORTÁTIL COM CARGA DE PQS DE 6 KG, CLASSE BC - FORNECIMENTO E INSTALAÇÃO. AF_10/2020_PE</t>
  </si>
  <si>
    <t xml:space="preserve"> 97599 </t>
  </si>
  <si>
    <t>LUMINÁRIA DE EMERGÊNCIA, COM 30 LÂMPADAS LED DE 2 W, SEM REATOR - FORNECIMENTO E INSTALAÇÃO. AF_02/2020</t>
  </si>
  <si>
    <t xml:space="preserve"> 11688 </t>
  </si>
  <si>
    <t>Sinalização horizontal rodoviária, com tinta retrorrefletiva à base de resina acrílica com microesferas de vidro</t>
  </si>
  <si>
    <t xml:space="preserve"> 12895 </t>
  </si>
  <si>
    <t>Placa de sinalizacao, fotoluminescente, em pvc , rota de fuga</t>
  </si>
  <si>
    <t xml:space="preserve"> 17 </t>
  </si>
  <si>
    <t>INSTALAÇÕES ELÉTRICAS E TELEFÔNICAS 220V</t>
  </si>
  <si>
    <t xml:space="preserve"> 17.1 </t>
  </si>
  <si>
    <t>QUADRO DE DISTRIBUIÇÃO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</si>
  <si>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</si>
  <si>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</si>
  <si>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101883 </t>
  </si>
  <si>
    <t>QUADRO DE DISTRIBUIÇÃO DE ENERGIA EM CHAPA DE AÇO GALVANIZADO, DE EMBUTIR, COM BARRAMENTO TRIFÁSICO, PARA 18 DISJUNTORES DIN 100A - FORNECIMENTO E INSTALAÇÃO. AF_10/2020</t>
  </si>
  <si>
    <t xml:space="preserve"> 100560 </t>
  </si>
  <si>
    <t>QUADRO DE DISTRIBUIÇÃO PARA TELEFONE N.2, 20X20X12CM EM CHAPA METALICA, DE EMBUTIR, SEM ACESSORIOS, PADRÃO TELEBRAS, FORNECIMENTO E INSTALAÇÃO. AF_11/2019</t>
  </si>
  <si>
    <t xml:space="preserve"> C3579 </t>
  </si>
  <si>
    <t>QUADRO DE MEDIÇÃO PADRÃO COELCE - PADRÃO POPULAR</t>
  </si>
  <si>
    <t xml:space="preserve"> 8633 </t>
  </si>
  <si>
    <t>Disjuntor termomagnetico monopolar 10 A, padrão DIN (linha branca) curva de disparo B, corrente de interrupção 5KA, ref.: Siemens 5 SX1 ou similar.</t>
  </si>
  <si>
    <t xml:space="preserve"> 9518 </t>
  </si>
  <si>
    <t>Disjuntor termomagnético monopolar 25 A, padrão DIN (linha branca), curva de disparo B, corrente de interrupção 5KA, ref.: Siemens 5 SX1 ou similar.</t>
  </si>
  <si>
    <t xml:space="preserve"> 10315 </t>
  </si>
  <si>
    <t>Disjuntor termomagnetico monopolar 32 A, padrão DIN (Europeu - linha branca)</t>
  </si>
  <si>
    <t xml:space="preserve"> C4562 </t>
  </si>
  <si>
    <t>DISPOSITIVO DE PROTEÇÃO CONTRA SURTOS DE TENSÃO - DPS's - 40 KA/440V</t>
  </si>
  <si>
    <t xml:space="preserve"> 8484 </t>
  </si>
  <si>
    <t>Disjuntor termomagnetico bipolar 10 A, padrão DIN (linha branca)</t>
  </si>
  <si>
    <t xml:space="preserve"> 8485 </t>
  </si>
  <si>
    <t>Disjuntor termomagnetico bipolar 13 A, padrão NEMA (linha branca)</t>
  </si>
  <si>
    <t xml:space="preserve"> 7995 </t>
  </si>
  <si>
    <t>Disjuntor termomagnetico bipolar 40 A, padrão DIN (Europeu - linha branca), curva C, corrente 5KA</t>
  </si>
  <si>
    <t xml:space="preserve"> 101896 </t>
  </si>
  <si>
    <t>DISJUNTOR TERMOMAGNÉTICO TRIPOLAR , CORRENTE NOMINAL DE 200A - FORNECIMENTO E INSTALAÇÃO. AF_10/2020</t>
  </si>
  <si>
    <t xml:space="preserve"> 17.2 </t>
  </si>
  <si>
    <t>ELETRODUTOS E ACESSÓRIOS</t>
  </si>
  <si>
    <t xml:space="preserve"> 91854 </t>
  </si>
  <si>
    <t>ELETRODUTO FLEXÍVEL CORRUGADO, PVC, DN 25 MM (3/4"), PARA CIRCUITOS TERMINAIS, INSTALADO EM PAREDE - FORNECIMENTO E INSTALAÇÃO. AF_03/2023</t>
  </si>
  <si>
    <t xml:space="preserve"> 91856 </t>
  </si>
  <si>
    <t>ELETRODUTO FLEXÍVEL CORRUGADO, PVC, DN 32 MM (1"), PARA CIRCUITOS TERMINAIS, INSTALADO EM PAREDE - FORNECIMENTO E INSTALAÇÃO. AF_03/2023</t>
  </si>
  <si>
    <t xml:space="preserve"> 93008 </t>
  </si>
  <si>
    <t>ELETRODUTO RÍGIDO ROSCÁVEL, PVC, DN 50 MM (1 1/2"), PARA REDE ENTERRADA DE DISTRIBUIÇÃO DE ENERGIA ELÉTRICA - FORNECIMENTO E INSTALAÇÃO. AF_12/2021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</si>
  <si>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</si>
  <si>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</si>
  <si>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93011 </t>
  </si>
  <si>
    <t>ELETRODUTO RÍGIDO ROSCÁVEL, PVC, DN 85 MM (3"), PARA REDE ENTERRADA DE DISTRIBUIÇÃO DE ENERGIA ELÉTRICA - FORNECIMENTO E INSTALAÇÃO. AF_12/2021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</si>
  <si>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</si>
  <si>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</si>
  <si>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COM-L2023 </t>
  </si>
  <si>
    <t>CAIXA DE PASSAGEM 30X30X40CM COM TAMPA E DRENO DE BRITA</t>
  </si>
  <si>
    <t xml:space="preserve"> COM-M2023 </t>
  </si>
  <si>
    <t>CAIXA DE PASSAGEM 30X30X40CM COM TAMPA E DRENO DE BRITA PARA TELEFONE</t>
  </si>
  <si>
    <t xml:space="preserve"> 91944 </t>
  </si>
  <si>
    <t>CAIXA RETANGULAR 4" X 4" BAIXA (0,30 M DO PISO), PVC, INSTALADA EM PAREDE - FORNECIMENTO E INSTALAÇÃO. AF_03/2023</t>
  </si>
  <si>
    <t xml:space="preserve"> 91941 </t>
  </si>
  <si>
    <t>CAIXA RETANGULAR 4" X 2" BAIXA (0,30 M DO PISO), PVC, INSTALADA EM PAREDE - FORNECIMENTO E INSTALAÇÃO. AF_03/2023</t>
  </si>
  <si>
    <t xml:space="preserve"> 91937 </t>
  </si>
  <si>
    <t>CAIXA OCTOGONAL 3" X 3", PVC, INSTALADA EM LAJE - FORNECIMENTO E INSTALAÇÃO. AF_03/2023</t>
  </si>
  <si>
    <t xml:space="preserve"> C0671 </t>
  </si>
  <si>
    <t>CANALETA PLÁSTICA (110 X 20)MM, SISTEMA "X"</t>
  </si>
  <si>
    <t xml:space="preserve"> 17.3 </t>
  </si>
  <si>
    <t>CABOS E FIOS CONDUTORES</t>
  </si>
  <si>
    <t xml:space="preserve"> 91924 </t>
  </si>
  <si>
    <t>CABO DE COBRE FLEXÍVEL ISOLADO, 1,5 MM², ANTI-CHAMA 450/750 V, PARA CIRCUITOS TERMINAIS - FORNECIMENTO E INSTALAÇÃO. AF_03/2023</t>
  </si>
  <si>
    <t xml:space="preserve"> 91926 </t>
  </si>
  <si>
    <t>CABO DE COBRE FLEXÍVEL ISOLADO, 2,5 MM², ANTI-CHAMA 450/750 V, PARA CIRCUITOS TERMINAIS - FORNECIMENTO E INSTALAÇÃO. AF_03/2023</t>
  </si>
  <si>
    <t xml:space="preserve"> 101888 </t>
  </si>
  <si>
    <t>CABO DE COBRE ISOLADO, 25 MM², ANTI-CHAMA 450/750 V, INSTALADO EM ELETROCALHA OU PERFILADO - FORNECIMENTO E INSTALAÇÃO. AF_10/2020</t>
  </si>
  <si>
    <t xml:space="preserve"> 00039234 </t>
  </si>
  <si>
    <t>CABO DE COBRE, FLEXIVEL, CLASSE 4 OU 5, ISOLACAO EM PVC/A, ANTICHAMA BWF-B, 1 CONDUTOR, 450/750 V, SECAO NOMINAL 50 MM2</t>
  </si>
  <si>
    <t xml:space="preserve"> C0539 </t>
  </si>
  <si>
    <t>CABO ISOLADO PVC 750V 95MM2</t>
  </si>
  <si>
    <t xml:space="preserve"> C0526 </t>
  </si>
  <si>
    <t>CABO ISOLADO PVC 750V 150MM2</t>
  </si>
  <si>
    <t xml:space="preserve"> 98281 </t>
  </si>
  <si>
    <t>CABO TELEFÔNICO CCI-50 2 PARES, SEM BLINDAGEM, INSTALADO EM DISTRIBUIÇÃO DE EDIFICAÇÃO RESIDENCIAL - FORNECIMENTO E INSTALAÇÃO. AF_11/2019</t>
  </si>
  <si>
    <t xml:space="preserve"> C0560 </t>
  </si>
  <si>
    <t>CABO TELEFÔNICO CCE - 2</t>
  </si>
  <si>
    <t xml:space="preserve"> 17.4 </t>
  </si>
  <si>
    <t>ILUMINAÇÃO E TOMADAS</t>
  </si>
  <si>
    <t xml:space="preserve"> 92000 </t>
  </si>
  <si>
    <t>TOMADA BAIXA DE EMBUTIR (1 MÓDULO), 2P+T 10 A, INCLUINDO SUPORTE E PLACA - FORNECIMENTO E INSTALAÇÃO. AF_03/2023</t>
  </si>
  <si>
    <t xml:space="preserve"> 92001 </t>
  </si>
  <si>
    <t>TOMADA BAIXA DE EMBUTIR (1 MÓDULO), 2P+T 20 A, INCLUINDO SUPORTE E PLACA - FORNECIMENTO E INSTALAÇÃO. AF_03/2023</t>
  </si>
  <si>
    <t xml:space="preserve"> 91953 </t>
  </si>
  <si>
    <t>INTERRUPTOR SIMPLES (1 MÓDULO), 10A/250V, INCLUINDO SUPORTE E PLACA - FORNECIMENTO E INSTALAÇÃO. AF_03/2023</t>
  </si>
  <si>
    <t xml:space="preserve"> 91959 </t>
  </si>
  <si>
    <t>INTERRUPTOR SIMPLES (2 MÓDULOS), 10A/250V, INCLUINDO SUPORTE E PLACA - FORNECIMENTO E INSTALAÇÃO. AF_03/2023</t>
  </si>
  <si>
    <t xml:space="preserve"> 91967 </t>
  </si>
  <si>
    <t>INTERRUPTOR SIMPLES (3 MÓDULOS), 10A/250V, INCLUINDO SUPORTE E PLACA - FORNECIMENTO E INSTALAÇÃO. AF_03/2023</t>
  </si>
  <si>
    <t xml:space="preserve"> 92023 </t>
  </si>
  <si>
    <t>INTERRUPTOR SIMPLES (1 MÓDULO) COM 1 TOMADA DE EMBUTIR 2P+T 10 A, INCLUINDO SUPORTE E PLACA - FORNECIMENTO E INSTALAÇÃO. AF_03/2023</t>
  </si>
  <si>
    <t xml:space="preserve"> C2298 </t>
  </si>
  <si>
    <t>TAMPA CEGA PLÁSTICA, SISTEMA "X"</t>
  </si>
  <si>
    <t xml:space="preserve"> C1638 </t>
  </si>
  <si>
    <t>LUMINÁRIA FLUORESCENTE COMPLETA (2 X 32)W</t>
  </si>
  <si>
    <t xml:space="preserve"> C1661 </t>
  </si>
  <si>
    <t>LUMINÁRIA FLUORESCENTE COMPLETA ( 2 X 16 )W</t>
  </si>
  <si>
    <t xml:space="preserve"> C2045 </t>
  </si>
  <si>
    <t>PROJETOR EM ALUMÍNIO, C/ LÂMPADA DE VAPOR METÁLICO E FOTOCÉLULA ATÉ 400W</t>
  </si>
  <si>
    <t xml:space="preserve"> 98307 </t>
  </si>
  <si>
    <t>TOMADA DE REDE RJ45 - FORNECIMENTO E INSTALAÇÃO. AF_11/2019</t>
  </si>
  <si>
    <t xml:space="preserve"> 18 </t>
  </si>
  <si>
    <t>SISTEMA DE PROTEÇÃO CONTRA DESCARGAS ATMOSFÉRICAS</t>
  </si>
  <si>
    <t xml:space="preserve"> 96989 </t>
  </si>
  <si>
    <t>CAPTOR TIPO FRANKLIN PARA SPDA - FORNECIMENTO E INSTALAÇÃO. AF_12/2017</t>
  </si>
  <si>
    <t xml:space="preserve"> C3478 </t>
  </si>
  <si>
    <t>VERGALHÃO ROSCA TOTAL DE 3/8"</t>
  </si>
  <si>
    <t xml:space="preserve"> 98463 </t>
  </si>
  <si>
    <t>SUPORTE ISOLADOR PARA CORDOALHA DE COBRE - FORNECIMENTO E INSTALAÇÃO. AF_12/2017</t>
  </si>
  <si>
    <t xml:space="preserve"> 9051 </t>
  </si>
  <si>
    <t>Caixa de equalização p/aterramento 20x20x10cm de sobrepor p/11 terminais de pressão c/barramento</t>
  </si>
  <si>
    <t xml:space="preserve"> 96985 </t>
  </si>
  <si>
    <t>HASTE DE ATERRAMENTO 5/8  PARA SPDA - FORNECIMENTO E INSTALAÇÃO. AF_12/2017</t>
  </si>
  <si>
    <t xml:space="preserve"> 96973 </t>
  </si>
  <si>
    <t>CORDOALHA DE COBRE NU 35 MM², NÃO ENTERRADA, COM ISOLADOR - FORNECIMENTO E INSTALAÇÃO. AF_12/2017</t>
  </si>
  <si>
    <t xml:space="preserve"> 96974 </t>
  </si>
  <si>
    <t>CORDOALHA DE COBRE NU 50 MM², NÃO ENTERRADA, COM ISOLADOR - FORNECIMENTO E INSTALAÇÃO. AF_12/2017</t>
  </si>
  <si>
    <t xml:space="preserve"> 98111 </t>
  </si>
  <si>
    <t>CAIXA DE INSPEÇÃO PARA ATERRAMENTO, CIRCULAR, EM POLIETILENO, DIÂMETRO INTERNO = 0,3 M. AF_12/2020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</si>
  <si>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</si>
  <si>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</si>
  <si>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</si>
  <si>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</si>
  <si>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</si>
  <si>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</si>
  <si>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C4068 </t>
  </si>
  <si>
    <t>BANCADA DE GRANITO CINZA E=2cm</t>
  </si>
  <si>
    <t xml:space="preserve"> C1869 </t>
  </si>
  <si>
    <t>PEITORIL DE GRANITO L= 15 cm</t>
  </si>
  <si>
    <t xml:space="preserve"> C1960 </t>
  </si>
  <si>
    <t>PORTA COMPENSADO P/ARMÁRIO SOB PIA</t>
  </si>
  <si>
    <t xml:space="preserve"> C2910 </t>
  </si>
  <si>
    <t>PRATELEIRA DE MADEIRA DE LEI PLAINADA</t>
  </si>
  <si>
    <t xml:space="preserve"> 19.2 </t>
  </si>
  <si>
    <t>ESQUADRIAS, PORTÃO E GRADIL METÁLICO</t>
  </si>
  <si>
    <t xml:space="preserve"> C0864 </t>
  </si>
  <si>
    <t>CONJUNTO DE MASTRO P/ TRÊS BANDEIRAS E PEDESTAL</t>
  </si>
  <si>
    <t xml:space="preserve"> C4646 </t>
  </si>
  <si>
    <t>CORRIMÃO DUPLA ALTURA EM AÇO INOX DIAM 1 1/2</t>
  </si>
  <si>
    <t xml:space="preserve"> 98504 </t>
  </si>
  <si>
    <t>PLANTIO DE GRAMA BATATAIS EM PLACAS. AF_05/2018</t>
  </si>
  <si>
    <t xml:space="preserve"> C0036 </t>
  </si>
  <si>
    <t>ALAMBRADO C/TELA DE ARAME GALVANIZADO.. ALTURA 2M</t>
  </si>
  <si>
    <t xml:space="preserve"> 12980 </t>
  </si>
  <si>
    <t>Portão  em tubo de ferro galvanizado de 2", de abrir, duas folhas, de 2,00 x 2,00m, tela malha revestida 76 x 76mm, n.º 12,  inclusive dobradiças e trancas/ferrolho</t>
  </si>
  <si>
    <t xml:space="preserve"> 12013 </t>
  </si>
  <si>
    <t>Portão de correr em chapa de aço 1/4", c/ quadro em tubo quadrado de 2", barra quadrada 1" na vertical e barra chata 2" x 1/4" na horizontal, inclusive ferrolho, e roldanas e trilhos,  p/ penitenciária</t>
  </si>
  <si>
    <t xml:space="preserve"> 20 </t>
  </si>
  <si>
    <t>SERVIÇOS FINAIS</t>
  </si>
  <si>
    <t xml:space="preserve"> 99803 </t>
  </si>
  <si>
    <t>LIMPEZA DE PISO CERÂMICO OU PORCELANATO COM PANO ÚMIDO. AF_04/2019</t>
  </si>
  <si>
    <t xml:space="preserve"> 3167 </t>
  </si>
  <si>
    <t>Placa de inauguração de obra em alumínio 0,60 x 0,80 m</t>
  </si>
  <si>
    <t>Total sem BDI</t>
  </si>
  <si>
    <t>Total do BDI</t>
  </si>
  <si>
    <t>Total Geral</t>
  </si>
  <si>
    <t>META</t>
  </si>
  <si>
    <t>MEDIÇÃO</t>
  </si>
  <si>
    <t>QUANT.</t>
  </si>
  <si>
    <t>VALOR</t>
  </si>
  <si>
    <t>ACUMULADO</t>
  </si>
  <si>
    <t>SALDO</t>
  </si>
  <si>
    <t>UNIDADE</t>
  </si>
  <si>
    <t>FEVEREIRO - MEDIÇÃO 01</t>
  </si>
  <si>
    <t>MARÇO/ABRIL - MEDIÇÃO 02</t>
  </si>
  <si>
    <t>%</t>
  </si>
  <si>
    <t>MAIO - MEDIÇÃO 03</t>
  </si>
  <si>
    <t>JUNHO - MEDIÇÃO 03</t>
  </si>
  <si>
    <t>TOTAL MEDIÇÃO</t>
  </si>
  <si>
    <t>Acum. Med. Anteriores</t>
  </si>
  <si>
    <t>total planilha</t>
  </si>
  <si>
    <t>saldo</t>
  </si>
  <si>
    <t xml:space="preserve">COMP </t>
  </si>
  <si>
    <t xml:space="preserve">ALTURA </t>
  </si>
  <si>
    <t xml:space="preserve">LARG </t>
  </si>
  <si>
    <t xml:space="preserve">QUANT </t>
  </si>
  <si>
    <t>OBRA:</t>
  </si>
  <si>
    <t>MUNICÍPIO:</t>
  </si>
  <si>
    <t>LICITAÇÃO Nº:</t>
  </si>
  <si>
    <t>MODALIDADE:</t>
  </si>
  <si>
    <t>DATA:</t>
  </si>
  <si>
    <t>CONTRATAÇÃO DE EMPRESA PARA CONSTRUÇÃO DE UMA ESCOLA COM 6 SALAS DE AULA.</t>
  </si>
  <si>
    <t>MOGEIRO - PB</t>
  </si>
  <si>
    <t>PROCESSO LICITATÓRIO Nº 004/2024 - CONCORRÊNCIA Nº 004/2024</t>
  </si>
  <si>
    <t>ESCOLA</t>
  </si>
  <si>
    <t>MED 01</t>
  </si>
  <si>
    <t>TOTAL MED 01</t>
  </si>
  <si>
    <t>MEDIDO NA BM</t>
  </si>
  <si>
    <t>1.1</t>
  </si>
  <si>
    <t>1.3</t>
  </si>
  <si>
    <t>1.5</t>
  </si>
  <si>
    <t>1.2</t>
  </si>
  <si>
    <t>1.4</t>
  </si>
  <si>
    <t>1.6</t>
  </si>
  <si>
    <t>1.7</t>
  </si>
  <si>
    <t>1.8</t>
  </si>
  <si>
    <t>1.9</t>
  </si>
  <si>
    <t>1.10</t>
  </si>
  <si>
    <t>obra da escola</t>
  </si>
  <si>
    <t xml:space="preserve">escritório </t>
  </si>
  <si>
    <t xml:space="preserve">depósito </t>
  </si>
  <si>
    <t>Limpeza de obra</t>
  </si>
  <si>
    <t>TOTAL MED 02</t>
  </si>
  <si>
    <t>MED 02</t>
  </si>
  <si>
    <t>Instalação provisória de luz</t>
  </si>
  <si>
    <t>Reservatório de água</t>
  </si>
  <si>
    <t>Fossa e Sumidouro</t>
  </si>
  <si>
    <t xml:space="preserve">sanitário </t>
  </si>
  <si>
    <t>locação bloco pedagógico</t>
  </si>
  <si>
    <t>locação patio coberto</t>
  </si>
  <si>
    <t>2.1</t>
  </si>
  <si>
    <t>2.2</t>
  </si>
  <si>
    <t>aterro sapatas pedagógico</t>
  </si>
  <si>
    <t>valas pedagógico</t>
  </si>
  <si>
    <t>escavação sapatas pedagógico</t>
  </si>
  <si>
    <t xml:space="preserve">escavação sapatas patio </t>
  </si>
  <si>
    <t>valas patio</t>
  </si>
  <si>
    <t>3.1.1</t>
  </si>
  <si>
    <t>concreto magro de 0,05cm das sapatas do bloco pedagógico</t>
  </si>
  <si>
    <t>concreto magro de 0,05cm das sapatas do patio coberto</t>
  </si>
  <si>
    <t>3.1.2</t>
  </si>
  <si>
    <t>conforme forma de projeto</t>
  </si>
  <si>
    <t>3.1.5</t>
  </si>
  <si>
    <t>3.1.6</t>
  </si>
  <si>
    <t>3.1.7</t>
  </si>
  <si>
    <t>3.1.8</t>
  </si>
  <si>
    <t>3.2.1</t>
  </si>
  <si>
    <t>2.3</t>
  </si>
  <si>
    <t>2.4</t>
  </si>
  <si>
    <t>3.1.3</t>
  </si>
  <si>
    <t>3.1.4</t>
  </si>
  <si>
    <t>3.2.2</t>
  </si>
  <si>
    <t>3.2.3</t>
  </si>
  <si>
    <t>3.2.4</t>
  </si>
  <si>
    <t>3.2.5</t>
  </si>
  <si>
    <t>3.2.6</t>
  </si>
  <si>
    <t>3.3.1</t>
  </si>
  <si>
    <t>3.3.2</t>
  </si>
  <si>
    <t>3.3.3</t>
  </si>
  <si>
    <t>3.3.4</t>
  </si>
  <si>
    <t>4.1.1</t>
  </si>
  <si>
    <t>4.1.2</t>
  </si>
  <si>
    <t>4.1.3</t>
  </si>
  <si>
    <t>4.1.4</t>
  </si>
  <si>
    <t>4.1.5</t>
  </si>
  <si>
    <t>4.1.6</t>
  </si>
  <si>
    <t>4.2.1</t>
  </si>
  <si>
    <t>4.2.2</t>
  </si>
  <si>
    <t>4.2.3</t>
  </si>
  <si>
    <t>4.2.4</t>
  </si>
  <si>
    <t>4.2.5</t>
  </si>
  <si>
    <t>4.3.1</t>
  </si>
  <si>
    <t>4.4.1</t>
  </si>
  <si>
    <t>5.1</t>
  </si>
  <si>
    <t>5.2</t>
  </si>
  <si>
    <t>5.3</t>
  </si>
  <si>
    <t>6.1.1</t>
  </si>
  <si>
    <t>6.1.2</t>
  </si>
  <si>
    <t>6.1.3</t>
  </si>
  <si>
    <t>6.1.4</t>
  </si>
  <si>
    <t>6.1.5</t>
  </si>
  <si>
    <t>6.1.6</t>
  </si>
  <si>
    <t>6.1.7</t>
  </si>
  <si>
    <t>6.2.1</t>
  </si>
  <si>
    <t>6.2.2</t>
  </si>
  <si>
    <t>6.2.3</t>
  </si>
  <si>
    <t>6.3.1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</si>
  <si>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</si>
  <si>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</si>
  <si>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</si>
  <si>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</si>
  <si>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</si>
  <si>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</si>
  <si>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</si>
  <si>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</si>
  <si>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</si>
  <si>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</si>
  <si>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</si>
  <si>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6.5.1</t>
  </si>
  <si>
    <t>6.5.2</t>
  </si>
  <si>
    <t>7.1</t>
  </si>
  <si>
    <t>7.2</t>
  </si>
  <si>
    <t>7.3</t>
  </si>
  <si>
    <t>7.4</t>
  </si>
  <si>
    <t>7.5</t>
  </si>
  <si>
    <t>7.6</t>
  </si>
  <si>
    <t>7.7</t>
  </si>
  <si>
    <t>7.8</t>
  </si>
  <si>
    <t>8.1</t>
  </si>
  <si>
    <t>9.1</t>
  </si>
  <si>
    <t>9.2</t>
  </si>
  <si>
    <t>9.3</t>
  </si>
  <si>
    <t>9.4</t>
  </si>
  <si>
    <t>9.5</t>
  </si>
  <si>
    <t>9.6</t>
  </si>
  <si>
    <t>9.7</t>
  </si>
  <si>
    <t>9.8</t>
  </si>
  <si>
    <t>10.1.1</t>
  </si>
  <si>
    <t>10.1.2</t>
  </si>
  <si>
    <t>10.1.3</t>
  </si>
  <si>
    <t>10.1.4</t>
  </si>
  <si>
    <t>10.1.5</t>
  </si>
  <si>
    <t>10.1.6</t>
  </si>
  <si>
    <t>10.1.7</t>
  </si>
  <si>
    <t>10.2.1</t>
  </si>
  <si>
    <t>10.2.2</t>
  </si>
  <si>
    <t>10.2.3</t>
  </si>
  <si>
    <t>10.2.4</t>
  </si>
  <si>
    <t>11.1</t>
  </si>
  <si>
    <t>11.2</t>
  </si>
  <si>
    <t>11.3</t>
  </si>
  <si>
    <t>11.4</t>
  </si>
  <si>
    <t>11.5</t>
  </si>
  <si>
    <t>11.6</t>
  </si>
  <si>
    <t>11.7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</si>
  <si>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</si>
  <si>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</si>
  <si>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</si>
  <si>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</si>
  <si>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</si>
  <si>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</si>
  <si>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</si>
  <si>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</si>
  <si>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</si>
  <si>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</si>
  <si>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</si>
  <si>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</si>
  <si>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</si>
  <si>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</si>
  <si>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</si>
  <si>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</si>
  <si>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</si>
  <si>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</si>
  <si>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</si>
  <si>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</si>
  <si>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</si>
  <si>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</si>
  <si>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</si>
  <si>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</si>
  <si>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</si>
  <si>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</si>
  <si>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</si>
  <si>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</si>
  <si>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</si>
  <si>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</si>
  <si>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</si>
  <si>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</si>
  <si>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</si>
  <si>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</si>
  <si>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</si>
  <si>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</si>
  <si>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</si>
  <si>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</si>
  <si>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</si>
  <si>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</si>
  <si>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</si>
  <si>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</si>
  <si>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</si>
  <si>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</si>
  <si>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</si>
  <si>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</si>
  <si>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</si>
  <si>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</si>
  <si>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</si>
  <si>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</si>
  <si>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</si>
  <si>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</si>
  <si>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</si>
  <si>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</si>
  <si>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</si>
  <si>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</si>
  <si>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</si>
  <si>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</si>
  <si>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</si>
  <si>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</si>
  <si>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</si>
  <si>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</si>
  <si>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</si>
  <si>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</si>
  <si>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</si>
  <si>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</si>
  <si>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</si>
  <si>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</si>
  <si>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</si>
  <si>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</si>
  <si>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</si>
  <si>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</si>
  <si>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</si>
  <si>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</si>
  <si>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</si>
  <si>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</si>
  <si>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16.1</t>
  </si>
  <si>
    <t>16.2</t>
  </si>
  <si>
    <t>16.3</t>
  </si>
  <si>
    <t>16.4</t>
  </si>
  <si>
    <t>17.1.1</t>
  </si>
  <si>
    <t>17.1.2</t>
  </si>
  <si>
    <t>17.1.3</t>
  </si>
  <si>
    <t>17.1.4</t>
  </si>
  <si>
    <t>17.1.5</t>
  </si>
  <si>
    <t>17.1.6</t>
  </si>
  <si>
    <t>17.1.7</t>
  </si>
  <si>
    <t>17.1.8</t>
  </si>
  <si>
    <t>17.1.9</t>
  </si>
  <si>
    <t>17.1.10</t>
  </si>
  <si>
    <t>17.1.11</t>
  </si>
  <si>
    <t>17.1.12</t>
  </si>
  <si>
    <t>17.1.13</t>
  </si>
  <si>
    <t>17.1.14</t>
  </si>
  <si>
    <t>17.2.1</t>
  </si>
  <si>
    <t>17.2.2</t>
  </si>
  <si>
    <t>17.2.3</t>
  </si>
  <si>
    <t>17.2.4</t>
  </si>
  <si>
    <t>17.2.5</t>
  </si>
  <si>
    <t>17.2.6</t>
  </si>
  <si>
    <t>17.2.7</t>
  </si>
  <si>
    <t>17.2.8</t>
  </si>
  <si>
    <t>17.2.9</t>
  </si>
  <si>
    <t>17.2.10</t>
  </si>
  <si>
    <t>17.2.11</t>
  </si>
  <si>
    <t>17.2.12</t>
  </si>
  <si>
    <t>17.2.13</t>
  </si>
  <si>
    <t>17.3.1</t>
  </si>
  <si>
    <t>17.3.2</t>
  </si>
  <si>
    <t>17.3.3</t>
  </si>
  <si>
    <t>17.3.4</t>
  </si>
  <si>
    <t>17.3.5</t>
  </si>
  <si>
    <t>17.3.6</t>
  </si>
  <si>
    <t>17.3.7</t>
  </si>
  <si>
    <t>17.3.8</t>
  </si>
  <si>
    <t>17.4.1</t>
  </si>
  <si>
    <t>17.4.2</t>
  </si>
  <si>
    <t>17.4.3</t>
  </si>
  <si>
    <t>17.4.4</t>
  </si>
  <si>
    <t>17.4.5</t>
  </si>
  <si>
    <t>17.4.6</t>
  </si>
  <si>
    <t>17.4.7</t>
  </si>
  <si>
    <t>17.4.8</t>
  </si>
  <si>
    <t>17.4.9</t>
  </si>
  <si>
    <t>17.4.10</t>
  </si>
  <si>
    <t>17.4.11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</si>
  <si>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</si>
  <si>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</si>
  <si>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</si>
  <si>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</si>
  <si>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</si>
  <si>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</si>
  <si>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</si>
  <si>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</si>
  <si>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</si>
  <si>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19.1.1</t>
  </si>
  <si>
    <t>19.1.2</t>
  </si>
  <si>
    <t>19.1.3</t>
  </si>
  <si>
    <t>19.1.4</t>
  </si>
  <si>
    <t>19.1.5</t>
  </si>
  <si>
    <t>19.2.1</t>
  </si>
  <si>
    <t>19.2.2</t>
  </si>
  <si>
    <t>19.2.3</t>
  </si>
  <si>
    <t>19.2.4</t>
  </si>
  <si>
    <t>19.2.5</t>
  </si>
  <si>
    <t>19.2.6</t>
  </si>
  <si>
    <t>19.2.7</t>
  </si>
  <si>
    <t>20.1</t>
  </si>
  <si>
    <t>20.2</t>
  </si>
  <si>
    <t>pedagógico</t>
  </si>
  <si>
    <t>Valor SALDO</t>
  </si>
  <si>
    <t>MEMÓRIA FOTOGRÁFICA</t>
  </si>
  <si>
    <t>pedagógico - salas 4, 5 e 6</t>
  </si>
  <si>
    <t>BOLETIM DE MEDIÇÃO</t>
  </si>
  <si>
    <t>PROGRAMA:</t>
  </si>
  <si>
    <t>INTEGRA PARAIBA</t>
  </si>
  <si>
    <t>MODALIDADE: ESCOLA</t>
  </si>
  <si>
    <t>EMPREENDIMENTO:</t>
  </si>
  <si>
    <t>GESTOR:</t>
  </si>
  <si>
    <t>DATA DA MEDIÇÃO</t>
  </si>
  <si>
    <t>ESTADO DA PARAÍBA</t>
  </si>
  <si>
    <t>CONTRATANTE:</t>
  </si>
  <si>
    <t>CNPJ:</t>
  </si>
  <si>
    <t>CONTRATADA: CONSTRUTORA SOUSA CAMPOS</t>
  </si>
  <si>
    <t>CNPJ: 19.175.657/0001-18</t>
  </si>
  <si>
    <t>INICIO DA OBRA;</t>
  </si>
  <si>
    <t>PREFEITURA MUNICIPAL DE MOGEIRO</t>
  </si>
  <si>
    <t>08.866.501/0001-67</t>
  </si>
  <si>
    <t>OBJETO:</t>
  </si>
  <si>
    <t>CONTRATAÇÃO DE EMPRESA PARA CONSTRUÇÃO DE UMA ESCOLA COM 6 SALAS DE AULA.
TIPO A INTEGRA PARAIBA.</t>
  </si>
  <si>
    <t>PROCESSO/OPERAÇÃO:</t>
  </si>
  <si>
    <t>CONTRATO-CPL:</t>
  </si>
  <si>
    <t>N° MEDIÇÃO</t>
  </si>
  <si>
    <t>PERÍODO DA MEDIÇÃO:</t>
  </si>
  <si>
    <t>00125/2024-CPL</t>
  </si>
  <si>
    <t>LOCAL:</t>
  </si>
  <si>
    <t>AVENIDA JOSÉ AMÉRICO, Z/N, BAIRRO MARIA PEIXOTO, MOGEIRO-PB</t>
  </si>
  <si>
    <t>VALOR CONTRATADO</t>
  </si>
  <si>
    <t>VALOR DA MEDIÇÃO</t>
  </si>
  <si>
    <t>VALOR ACUMULADO</t>
  </si>
  <si>
    <t>SALDO DO CONTRATO</t>
  </si>
  <si>
    <t>ITEM</t>
  </si>
  <si>
    <t>DISCRIMINAÇÃO</t>
  </si>
  <si>
    <t>CONTRATADO</t>
  </si>
  <si>
    <t>QUANTITATIVO</t>
  </si>
  <si>
    <t>FINANCEIRO</t>
  </si>
  <si>
    <t>PERCENTUAL MEDIDO</t>
  </si>
  <si>
    <t>UNID</t>
  </si>
  <si>
    <t>UNITÁRIO</t>
  </si>
  <si>
    <t>TOTAL</t>
  </si>
  <si>
    <t>ACUMULADO ANTERIOR</t>
  </si>
  <si>
    <t>PERIODO</t>
  </si>
  <si>
    <t>ACUMULADO INCLUINDO O PERIODO</t>
  </si>
  <si>
    <t>1</t>
  </si>
  <si>
    <t>2</t>
  </si>
  <si>
    <t>INFRAESTRUTURA: FUNDAÇÕES</t>
  </si>
  <si>
    <t>3.1</t>
  </si>
  <si>
    <t>CONCRETO ARMADO PARA FUNDAÇÕES - SAPATAS</t>
  </si>
  <si>
    <t>3.2</t>
  </si>
  <si>
    <t>3.3</t>
  </si>
  <si>
    <t>4.1</t>
  </si>
  <si>
    <t>4.2</t>
  </si>
  <si>
    <t>4.3</t>
  </si>
  <si>
    <t>4.4</t>
  </si>
  <si>
    <t>6.1</t>
  </si>
  <si>
    <t>6.2</t>
  </si>
  <si>
    <t>6.3</t>
  </si>
  <si>
    <t>6.4</t>
  </si>
  <si>
    <t>6.5</t>
  </si>
  <si>
    <t>10.1</t>
  </si>
  <si>
    <t>10.2</t>
  </si>
  <si>
    <t>17.1</t>
  </si>
  <si>
    <t>17.2</t>
  </si>
  <si>
    <t>17.3</t>
  </si>
  <si>
    <t>17.4</t>
  </si>
  <si>
    <t>19.</t>
  </si>
  <si>
    <t>19.1</t>
  </si>
  <si>
    <t>19.2</t>
  </si>
  <si>
    <t>SERVIÇOS EXECUTADOS NÃO PLANILHADOS</t>
  </si>
  <si>
    <t>PRÓPRIO - ALVENARIA EM TIJOLO CERAMICO FURADO 9X19X19CM, 1 VEZ (ESPESSURA 19 CM), ASSENTADO EM ARGAMASSA TRACO 1:4 (CIMENTO E AREIA MEDIA NAO PENEIRADA), PREPARO MANUAL, JUNTA1 CM. INC_11/2016</t>
  </si>
  <si>
    <t>Atesto que os serviços foram executados conforme projetos aprovados</t>
  </si>
  <si>
    <t>Atesto que os serviços foram executados e aceitos</t>
  </si>
  <si>
    <t>Medição aprovada para liberação</t>
  </si>
  <si>
    <t>Responsável Técnico pela Execução</t>
  </si>
  <si>
    <t>Fiscalização</t>
  </si>
  <si>
    <t>Prefeitura Municipal</t>
  </si>
  <si>
    <t>vigas pedagógico</t>
  </si>
  <si>
    <t>armação sapatas e pilaretes pedagógico</t>
  </si>
  <si>
    <t>armação sapatas e pilaretes patio</t>
  </si>
  <si>
    <t>sapatas e pilaretes pedagógico</t>
  </si>
  <si>
    <t>sapatas e pilaretes patio</t>
  </si>
  <si>
    <t>pilaretes</t>
  </si>
  <si>
    <t>Preço Contratado</t>
  </si>
  <si>
    <t>Ajuste INCC MAI/25 10,99%</t>
  </si>
  <si>
    <t>Preço Ajustado</t>
  </si>
  <si>
    <t>Valor total</t>
  </si>
  <si>
    <t>Ajuste INCC</t>
  </si>
  <si>
    <t>TOTAL DO REAJUSTE</t>
  </si>
  <si>
    <t>TOTAL FINAL</t>
  </si>
  <si>
    <t>armação sapatas e pilaretes pedagógico - 37,73%</t>
  </si>
  <si>
    <t>Locação bloco administrativo</t>
  </si>
  <si>
    <t>locação bloco serviço</t>
  </si>
  <si>
    <t>TOTAL MED 03</t>
  </si>
  <si>
    <t>aterro sapatas do pátio</t>
  </si>
  <si>
    <t xml:space="preserve">sapatas administrativo </t>
  </si>
  <si>
    <t>Aditivo até bm 03</t>
  </si>
  <si>
    <t xml:space="preserve">patio </t>
  </si>
  <si>
    <t>COMP (m)</t>
  </si>
  <si>
    <t>ALTURA (m)</t>
  </si>
  <si>
    <t>VOLUME (M3)</t>
  </si>
  <si>
    <t>massa especifica (kg/m)</t>
  </si>
  <si>
    <t>MASSA (kg)</t>
  </si>
  <si>
    <t>LARG (m)</t>
  </si>
  <si>
    <t>Larg (m)</t>
  </si>
  <si>
    <t>Acresc. Verga (m)</t>
  </si>
  <si>
    <t>DE 01/04/2025 a 30/05/2025</t>
  </si>
  <si>
    <t>MEDIÇÃO 03</t>
  </si>
  <si>
    <t xml:space="preserve">BLOCO ADIMINISTRATIVO </t>
  </si>
  <si>
    <t>BLOCO DE SERVIÇO</t>
  </si>
  <si>
    <t>locação das passarelas 3x</t>
  </si>
  <si>
    <t xml:space="preserve">locação da rampa principal </t>
  </si>
  <si>
    <t>locação das passarelas (bloco adm e bloco serviço)</t>
  </si>
  <si>
    <t>Rampa das passarelas  entre (bloco adm e bloco serviço)</t>
  </si>
  <si>
    <t>Bloco administrativo (sapatas)</t>
  </si>
  <si>
    <t>Bloco serviço (sapatas)</t>
  </si>
  <si>
    <t>Bloco passarelas 3x (sapatas)</t>
  </si>
  <si>
    <t>Rampa principal (sapatas)</t>
  </si>
  <si>
    <t>Rampa das passarelas  entre (bloco adm e bloco serviço) (sapatas)</t>
  </si>
  <si>
    <t>Bloco serviço (baldrame)</t>
  </si>
  <si>
    <t>Bloco administrativo (baldrame)</t>
  </si>
  <si>
    <t>Bloco passarelas 3x (badrame)</t>
  </si>
  <si>
    <t>Rampa principal (baldrame)</t>
  </si>
  <si>
    <t>Rampa das passarelas  entre (bloco adm e bloco serviço) (baldrame )</t>
  </si>
  <si>
    <t>Patío (baldrame)</t>
  </si>
  <si>
    <t>Bloco pedagogico (baldrame) (PAREDES MAIOR)</t>
  </si>
  <si>
    <t>Bloco pedagogico (baldrame) (PAREDES CENTRAIS SALAS)</t>
  </si>
  <si>
    <t>Bloco pedagogico (baldrame) (PAREDES CENTRAIS CALÇADAS)</t>
  </si>
  <si>
    <t>Bloco pedagogico (baldrame) DESCONTO PILARES</t>
  </si>
  <si>
    <t xml:space="preserve">Patío (baldrame) DESCONTO PILARES </t>
  </si>
  <si>
    <t>Bloco serviço (baldrame) DESCONTO PILARES</t>
  </si>
  <si>
    <t>Bloco administrativo (baldrame) DESCONTO PILARES</t>
  </si>
  <si>
    <t>Bloco passarelas 3x (badrame) DESCONTO PILARES</t>
  </si>
  <si>
    <t>Rampa principal (baldrame) DESCONTO PILARES</t>
  </si>
  <si>
    <t>BLOCO ADIMINISTRATIVO PILARES P7=P10 (N5)</t>
  </si>
  <si>
    <t>COMP</t>
  </si>
  <si>
    <t>REP</t>
  </si>
  <si>
    <t>MASSA</t>
  </si>
  <si>
    <t>QUAT</t>
  </si>
  <si>
    <t>Bloco pedagógico (estribo dos pilares das salas 04,05,06)</t>
  </si>
  <si>
    <t>Bloco administrativo (estribus dos pilaretes)</t>
  </si>
  <si>
    <t>Bloco serviço (estribus dos pilaretes)</t>
  </si>
  <si>
    <t>Bloco passarelas 3x (estribus dos pilaretes)</t>
  </si>
  <si>
    <t>Rampa principal (estribus dos pilaretes)</t>
  </si>
  <si>
    <t xml:space="preserve">Bloco pedagógico (estribo dos pilares das salas 01,02,03 e informatica) meia parede ate a contra verga janelas </t>
  </si>
  <si>
    <t xml:space="preserve">Bloco administrativo (estribus em S dos pilaretes) </t>
  </si>
  <si>
    <t>Bloco serviço (estribus em S dos pilaretes)</t>
  </si>
  <si>
    <t>Bloco pedagógico (estribo em S  dos pilares das salas 04,05,06)</t>
  </si>
  <si>
    <t xml:space="preserve">Bloco pedagógico (estribo em S dos pilares das salas 01,02,03 e informatica) meia parede ate a contra verga janelas </t>
  </si>
  <si>
    <t>Bloco serviço (sapata)</t>
  </si>
  <si>
    <t>Bloco passarealas 3x</t>
  </si>
  <si>
    <t xml:space="preserve">Rampa de acesso principal </t>
  </si>
  <si>
    <t>aditivo</t>
  </si>
  <si>
    <t>Patio</t>
  </si>
  <si>
    <t>PASSARELAS X3</t>
  </si>
  <si>
    <t>PASSARELAS 3x</t>
  </si>
  <si>
    <t>Rampa principal</t>
  </si>
  <si>
    <t>AREA</t>
  </si>
  <si>
    <t>Bloco de serviço (baldrames)</t>
  </si>
  <si>
    <t>Bloco de adiministrativo (baldrames)</t>
  </si>
  <si>
    <t>Patio (baldrames)</t>
  </si>
  <si>
    <t>Passarelas 3x</t>
  </si>
  <si>
    <t>Rampas (principal e ligação entre adm e seviço)</t>
  </si>
  <si>
    <t xml:space="preserve">Rampas </t>
  </si>
  <si>
    <t>m2</t>
  </si>
  <si>
    <t>Bloco pedagógico salas 04,05,06 PILARES (12x40)</t>
  </si>
  <si>
    <t>Bloco pedagógico salas 04,05,06 PILARES (20x20)</t>
  </si>
  <si>
    <t>Bloco pedagógico sala informatica PILARES (12x40)</t>
  </si>
  <si>
    <t>Bloco pedagógico sala informatica PILARES (20x20)</t>
  </si>
  <si>
    <t>Bloco pedagógico salas 03 PILARES (12x40)</t>
  </si>
  <si>
    <t>Bloco pedagógico salas 03 PILARES (20x20)</t>
  </si>
  <si>
    <t>Bloco pedagógico salas 04,05,06 PILARES (12x40) estribos</t>
  </si>
  <si>
    <t>Bloco pedagógico salas 04,05,06 PILARES (20x20) estribos</t>
  </si>
  <si>
    <t>Bloco pedagógico sala informatica PILARES (12x40) estribos</t>
  </si>
  <si>
    <t>Bloco pedagógico sala informatica PILARES (20x20) estribos</t>
  </si>
  <si>
    <t>Bloco pedagógico salas 03 PILARES (12x40) estribos</t>
  </si>
  <si>
    <t>Bloco pedagógico salas 03 PILARES (20x20) estribos</t>
  </si>
  <si>
    <t>Bloco pedagógico - SALA 04,05,06 12 janelas tipo JA8 - verga e contraverga</t>
  </si>
  <si>
    <t xml:space="preserve">Bloco pedagógico- SALA 04,05,06  3 portas tipo PM2 - verga </t>
  </si>
  <si>
    <t>Bloco pedagógico - SALA 01,02,03 e informatica 8 janelas parte tras, tipo JA8  contraverga</t>
  </si>
  <si>
    <t>Bloco pedagógico - salas 4, 5 e 6 - paredes divisórias</t>
  </si>
  <si>
    <t>Bloco pedagógico - salas 01,02,03 e informatica lado de tras (até a contra verga)</t>
  </si>
  <si>
    <t>Bloco pedagógico - salas 01,02,03 e informatica parede divissorias (até a contra verga)</t>
  </si>
  <si>
    <t>Patio (vigas)</t>
  </si>
  <si>
    <t>Patio (pilaretes)</t>
  </si>
  <si>
    <t>Bloco adiministração (vigas)</t>
  </si>
  <si>
    <t>Bloco adiministração (pilaretes)</t>
  </si>
  <si>
    <t>Bloco serviço (vigas)</t>
  </si>
  <si>
    <t>Bloco serviço (pilaretes)</t>
  </si>
  <si>
    <t>Passarela 3x (vigas)</t>
  </si>
  <si>
    <t>Passarela 3x (pilaretes)</t>
  </si>
  <si>
    <t>Rampas (principal e ligação entre blocos) (vigas)</t>
  </si>
  <si>
    <t>Rampas (principal e ligação entre blocos) (pilaretes)</t>
  </si>
  <si>
    <t xml:space="preserve">aditivo </t>
  </si>
  <si>
    <t>Bloco pedagogico (salas 04,05,06) 100% externas</t>
  </si>
  <si>
    <t>Bloco pedagogico (salas 04,05,06) 100% internas</t>
  </si>
  <si>
    <t>Bloco pedagogico (sala informatica) 100% externas</t>
  </si>
  <si>
    <t>Bloco pedagogico (sala informatica) 100% internas</t>
  </si>
  <si>
    <t>Bloco pedagógico (sala 06,05)</t>
  </si>
  <si>
    <t>Bloco pedagógico (sala 04,03)</t>
  </si>
  <si>
    <t>Bloco pedagógico (sala informatica)</t>
  </si>
  <si>
    <t>Bloco pedagógico (02)</t>
  </si>
  <si>
    <t>Bloco pedagógico (sala 01)</t>
  </si>
  <si>
    <t xml:space="preserve">  </t>
  </si>
  <si>
    <t>Bloco pedagogico (60% dos pilares)</t>
  </si>
  <si>
    <t>Bloco pedagogico (complemento)</t>
  </si>
  <si>
    <t>MEMÓRIA DE CÁLCULO - CONSTRUÇÃO - BM 03  - PERÍODO: 01/04/2025 A 30/06/2025</t>
  </si>
  <si>
    <t>Bloco pedagogico complemento</t>
  </si>
  <si>
    <t>03</t>
  </si>
  <si>
    <t>ERROS DE 1 CENTAVO</t>
  </si>
  <si>
    <t>TOTAL GERAL - MEDIÇÃO 3</t>
  </si>
  <si>
    <t>TOTAL MED 04</t>
  </si>
  <si>
    <t>MEDIÇÃO 04</t>
  </si>
  <si>
    <t>BLOCO PEDAGÓGICO (vigas) 50%</t>
  </si>
  <si>
    <t>BLOCO DE SERVIÇO (vigas)</t>
  </si>
  <si>
    <t>BLOCO PEDAGÓGICO (vigas)</t>
  </si>
  <si>
    <t>Bloco pedagogico (40% dos pilares)</t>
  </si>
  <si>
    <t>BLOCO SERVIÇOS (PILARES)</t>
  </si>
  <si>
    <t xml:space="preserve">BLOCO ADMINISTRATIVO </t>
  </si>
  <si>
    <t>Bloco pedagógico salas 01,02 e comple. 03 PILARES (12x40)</t>
  </si>
  <si>
    <t>Bloco pedagógico salas 01,02 e comple. 03 PILARES (20x20)</t>
  </si>
  <si>
    <t>BLOCO DE SERVIÇO (PILARES)</t>
  </si>
  <si>
    <t xml:space="preserve">BLOCO DE SERVIÇO </t>
  </si>
  <si>
    <t>Bloco pedagógico - SALA 01,02,03 e informatica 8 janelas parte tras, tipo JA8  verga</t>
  </si>
  <si>
    <t>BLOCO DE SERVIÇO JANELAS (J1 E J2) (VERGA E CONTRA VERGA)</t>
  </si>
  <si>
    <t>BLOCO DE SERVIÇO JANELAS (J3) (VERGA E CONTRA VERGA)</t>
  </si>
  <si>
    <t>BLOCO DE SERVIÇO JANELAS (J4) (VERGA E CONTRA VERGA)</t>
  </si>
  <si>
    <t>BLOCO DE SERVIÇO JANELAS (J5) (VERGA E CONTRA VERGA)</t>
  </si>
  <si>
    <t>BLOCO DE SERVIÇO PORTAS</t>
  </si>
  <si>
    <t>BLOCO DE SERVIÇO PORTAS P4</t>
  </si>
  <si>
    <t>BLOCO ADM (SEM SALDO PARA TUDO)</t>
  </si>
  <si>
    <t>BLOCO PEDAGOGICO COMPL., SERVIÇO, ADMINISTRATIVO</t>
  </si>
  <si>
    <t>BLOCO PEDAGOGICO - COMPLEMENTO DAS SALAS</t>
  </si>
  <si>
    <t>LAR</t>
  </si>
  <si>
    <t>BLOCO PEDAGÓGICO SALAS 06,05,04 E INFORMATICA</t>
  </si>
  <si>
    <t>BLOCO PEDAGÓGICO SALAS 06,05,04 E INFORMATICA (CORREDOR)</t>
  </si>
  <si>
    <t xml:space="preserve">PATIO </t>
  </si>
  <si>
    <t xml:space="preserve">BLOCO DE SERRVIÇO </t>
  </si>
  <si>
    <t xml:space="preserve">BLOCO SERVIÇO </t>
  </si>
  <si>
    <t>04</t>
  </si>
  <si>
    <t>MEMÓRIA DE CÁLCULO - CONSTRUÇÃO - BM 04  - PERÍODO: 01/07/2025 A 31/07/2025</t>
  </si>
  <si>
    <t>complemento de aço</t>
  </si>
  <si>
    <t>01/07/2025 a 31/07/2025</t>
  </si>
  <si>
    <t>TOTAL GERAL - MEDIÇÃO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</si>
</sst>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R$&quot;\ #,##0.00;\-&quot;R$&quot;\ #,##0.00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#,##0.00\ %"/>
    <numFmt numFmtId="166" formatCode="_-* #,##0.000_-;\-* #,##0.000_-;_-* &quot;-&quot;??_-;_-@"/>
    <numFmt numFmtId="167" formatCode="_-* #,##0.00_-;\-* #,##0.00_-;_-* &quot;-&quot;??_-;_-@"/>
    <numFmt numFmtId="168" formatCode="_-* #,##0.000_-;\-* #,##0.000_-;_-* &quot;-&quot;???_-;_-@_-"/>
    <numFmt numFmtId="169" formatCode="#,##0.00#####"/>
    <numFmt numFmtId="170" formatCode="_-* #,##0.0_-;\-* #,##0.0_-;_-* &quot;-&quot;??_-;_-@"/>
    <numFmt numFmtId="171" formatCode="0.0"/>
    <numFmt numFmtId="172" formatCode="0.00000"/>
    <numFmt numFmtId="173" formatCode="0.0000"/>
  </numFmts>
  <fonts count="55" x14ac:knownFonts="1">
    <font>
      <sz val="11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000000"/>
      <name val="Arial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b/>
      <i/>
      <sz val="9"/>
      <color rgb="FF000000"/>
      <name val="Arial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1"/>
      <color rgb="FF000000"/>
      <name val="Arial"/>
      <family val="2"/>
    </font>
    <font>
      <b/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i/>
      <sz val="12"/>
      <color theme="1"/>
      <name val="Arial"/>
      <family val="2"/>
    </font>
    <font>
      <sz val="8"/>
      <name val="Arial"/>
      <family val="2"/>
      <scheme val="minor"/>
    </font>
    <font>
      <i/>
      <sz val="10"/>
      <name val="Arial"/>
      <family val="2"/>
    </font>
    <font>
      <sz val="14"/>
      <color theme="1"/>
      <name val="Berlin Sans FB"/>
      <family val="2"/>
    </font>
    <font>
      <sz val="11"/>
      <color theme="1"/>
      <name val="Consolas"/>
      <family val="3"/>
    </font>
    <font>
      <sz val="10"/>
      <color theme="1"/>
      <name val="Consolas"/>
      <family val="3"/>
    </font>
    <font>
      <sz val="8"/>
      <color theme="1"/>
      <name val="Consolas"/>
      <family val="3"/>
    </font>
    <font>
      <b/>
      <sz val="10"/>
      <color theme="1"/>
      <name val="Consolas"/>
      <family val="3"/>
    </font>
    <font>
      <b/>
      <sz val="14"/>
      <name val="Arial"/>
      <family val="2"/>
    </font>
    <font>
      <sz val="10"/>
      <name val="Consolas"/>
      <family val="3"/>
    </font>
    <font>
      <b/>
      <sz val="10"/>
      <name val="Consolas"/>
      <family val="3"/>
    </font>
    <font>
      <sz val="14"/>
      <name val="Consolas"/>
      <family val="3"/>
    </font>
    <font>
      <sz val="12"/>
      <name val="Consolas"/>
      <family val="3"/>
    </font>
    <font>
      <b/>
      <sz val="12"/>
      <name val="Consolas"/>
      <family val="3"/>
    </font>
    <font>
      <sz val="9"/>
      <name val="Consolas"/>
      <family val="3"/>
    </font>
    <font>
      <sz val="9"/>
      <color theme="1"/>
      <name val="Consolas"/>
      <family val="3"/>
    </font>
    <font>
      <b/>
      <sz val="12"/>
      <color theme="1"/>
      <name val="Consolas"/>
      <family val="3"/>
    </font>
    <font>
      <b/>
      <sz val="12"/>
      <color rgb="FF7030A0"/>
      <name val="Consolas"/>
      <family val="3"/>
    </font>
    <font>
      <sz val="10"/>
      <color rgb="FF000000"/>
      <name val="Consolas"/>
      <family val="3"/>
    </font>
    <font>
      <sz val="11"/>
      <color rgb="FFFF0000"/>
      <name val="Arial"/>
      <family val="2"/>
      <scheme val="minor"/>
    </font>
    <font>
      <sz val="11"/>
      <color theme="1"/>
      <name val="Arial"/>
      <family val="2"/>
    </font>
    <font>
      <i/>
      <sz val="10"/>
      <color rgb="FFFF0000"/>
      <name val="Arial"/>
      <family val="2"/>
    </font>
    <font>
      <b/>
      <sz val="11"/>
      <name val="Arial"/>
      <family val="2"/>
      <scheme val="minor"/>
    </font>
    <font>
      <b/>
      <i/>
      <sz val="9"/>
      <color theme="1"/>
      <name val="Arial"/>
      <family val="2"/>
      <scheme val="minor"/>
    </font>
    <font>
      <b/>
      <sz val="10"/>
      <color rgb="FFEE0000"/>
      <name val="Arial"/>
      <family val="2"/>
    </font>
    <font>
      <sz val="12"/>
      <color theme="1"/>
      <name val="Consolas"/>
      <family val="3"/>
    </font>
  </fonts>
  <fills count="3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theme="0"/>
        <bgColor theme="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A7A7"/>
        <bgColor theme="0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5" tint="0.59999389629810485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8ECF6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rgb="FFD8ECF6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D8ECF6"/>
      </patternFill>
    </fill>
    <fill>
      <patternFill patternType="solid">
        <fgColor rgb="FFFFFFCC"/>
        <bgColor theme="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rgb="FFD8ECF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85ABFF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2" tint="-0.14999847407452621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</fills>
  <borders count="1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CCCCCC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theme="0" tint="-0.249977111117893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theme="0" tint="-0.249977111117893"/>
      </right>
      <top style="thin">
        <color rgb="FFCCCCCC"/>
      </top>
      <bottom style="thin">
        <color rgb="FFCCCCCC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rgb="FFCCCCCC"/>
      </left>
      <right style="hair">
        <color auto="1"/>
      </right>
      <top style="thin">
        <color indexed="64"/>
      </top>
      <bottom style="thin">
        <color rgb="FFCCCCCC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rgb="FFCCCCCC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rgb="FFCCCCCC"/>
      </bottom>
      <diagonal/>
    </border>
    <border>
      <left style="thin">
        <color rgb="FFCCCCCC"/>
      </left>
      <right style="hair">
        <color auto="1"/>
      </right>
      <top style="thin">
        <color indexed="64"/>
      </top>
      <bottom/>
      <diagonal/>
    </border>
    <border>
      <left style="thin">
        <color rgb="FFCCCCCC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double">
        <color auto="1"/>
      </top>
      <bottom style="thin">
        <color indexed="64"/>
      </bottom>
      <diagonal/>
    </border>
    <border>
      <left style="thin">
        <color auto="1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5" fillId="0" borderId="4"/>
    <xf numFmtId="0" fontId="3" fillId="0" borderId="4"/>
    <xf numFmtId="0" fontId="2" fillId="0" borderId="4"/>
    <xf numFmtId="43" fontId="2" fillId="0" borderId="4" applyFont="0" applyFill="0" applyBorder="0" applyAlignment="0" applyProtection="0"/>
    <xf numFmtId="164" fontId="2" fillId="0" borderId="4" applyFont="0" applyFill="0" applyBorder="0" applyAlignment="0" applyProtection="0"/>
    <xf numFmtId="9" fontId="2" fillId="0" borderId="4" applyFont="0" applyFill="0" applyBorder="0" applyAlignment="0" applyProtection="0"/>
    <xf numFmtId="0" fontId="10" fillId="0" borderId="4"/>
    <xf numFmtId="0" fontId="1" fillId="0" borderId="4"/>
    <xf numFmtId="0" fontId="1" fillId="0" borderId="4"/>
  </cellStyleXfs>
  <cellXfs count="581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5" fillId="0" borderId="4" xfId="0" applyFont="1" applyBorder="1"/>
    <xf numFmtId="0" fontId="4" fillId="2" borderId="5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center" vertical="top" wrapText="1"/>
    </xf>
    <xf numFmtId="0" fontId="7" fillId="3" borderId="5" xfId="0" applyFont="1" applyFill="1" applyBorder="1" applyAlignment="1">
      <alignment horizontal="left" vertical="top" wrapText="1"/>
    </xf>
    <xf numFmtId="0" fontId="7" fillId="3" borderId="5" xfId="0" applyFont="1" applyFill="1" applyBorder="1" applyAlignment="1">
      <alignment horizontal="right" vertical="top" wrapText="1"/>
    </xf>
    <xf numFmtId="4" fontId="7" fillId="3" borderId="5" xfId="0" applyNumberFormat="1" applyFont="1" applyFill="1" applyBorder="1" applyAlignment="1">
      <alignment horizontal="right" vertical="top" wrapText="1"/>
    </xf>
    <xf numFmtId="0" fontId="8" fillId="4" borderId="5" xfId="0" applyFont="1" applyFill="1" applyBorder="1" applyAlignment="1">
      <alignment horizontal="left" vertical="top" wrapText="1"/>
    </xf>
    <xf numFmtId="0" fontId="8" fillId="4" borderId="5" xfId="0" applyFont="1" applyFill="1" applyBorder="1" applyAlignment="1">
      <alignment horizontal="right" vertical="top" wrapText="1"/>
    </xf>
    <xf numFmtId="0" fontId="8" fillId="4" borderId="5" xfId="0" applyFont="1" applyFill="1" applyBorder="1" applyAlignment="1">
      <alignment horizontal="center" vertical="top" wrapText="1"/>
    </xf>
    <xf numFmtId="4" fontId="8" fillId="4" borderId="5" xfId="0" applyNumberFormat="1" applyFont="1" applyFill="1" applyBorder="1" applyAlignment="1">
      <alignment horizontal="right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0" borderId="3" xfId="0" applyFont="1" applyBorder="1"/>
    <xf numFmtId="0" fontId="9" fillId="2" borderId="4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165" fontId="7" fillId="3" borderId="10" xfId="0" applyNumberFormat="1" applyFont="1" applyFill="1" applyBorder="1" applyAlignment="1">
      <alignment horizontal="right" vertical="top" wrapText="1"/>
    </xf>
    <xf numFmtId="165" fontId="7" fillId="3" borderId="10" xfId="0" applyNumberFormat="1" applyFont="1" applyFill="1" applyBorder="1" applyAlignment="1">
      <alignment horizontal="center" vertical="top" wrapText="1"/>
    </xf>
    <xf numFmtId="165" fontId="7" fillId="3" borderId="13" xfId="0" applyNumberFormat="1" applyFont="1" applyFill="1" applyBorder="1" applyAlignment="1">
      <alignment horizontal="center" vertical="top" wrapText="1"/>
    </xf>
    <xf numFmtId="165" fontId="8" fillId="4" borderId="10" xfId="0" applyNumberFormat="1" applyFont="1" applyFill="1" applyBorder="1" applyAlignment="1">
      <alignment horizontal="right" vertical="top" wrapText="1"/>
    </xf>
    <xf numFmtId="0" fontId="4" fillId="2" borderId="17" xfId="0" applyFont="1" applyFill="1" applyBorder="1" applyAlignment="1">
      <alignment horizontal="right" vertical="top" wrapText="1"/>
    </xf>
    <xf numFmtId="165" fontId="7" fillId="3" borderId="17" xfId="0" applyNumberFormat="1" applyFont="1" applyFill="1" applyBorder="1" applyAlignment="1">
      <alignment horizontal="right" vertical="top" wrapText="1"/>
    </xf>
    <xf numFmtId="165" fontId="8" fillId="4" borderId="17" xfId="0" applyNumberFormat="1" applyFont="1" applyFill="1" applyBorder="1" applyAlignment="1">
      <alignment horizontal="right" vertical="top" wrapText="1"/>
    </xf>
    <xf numFmtId="0" fontId="0" fillId="0" borderId="18" xfId="0" applyBorder="1"/>
    <xf numFmtId="0" fontId="8" fillId="4" borderId="10" xfId="0" applyFont="1" applyFill="1" applyBorder="1" applyAlignment="1">
      <alignment horizontal="right" vertical="top" wrapText="1"/>
    </xf>
    <xf numFmtId="0" fontId="7" fillId="3" borderId="12" xfId="0" applyFont="1" applyFill="1" applyBorder="1" applyAlignment="1">
      <alignment horizontal="center" vertical="top" wrapText="1"/>
    </xf>
    <xf numFmtId="0" fontId="7" fillId="3" borderId="10" xfId="0" applyFont="1" applyFill="1" applyBorder="1" applyAlignment="1">
      <alignment horizontal="right" vertical="top" wrapText="1"/>
    </xf>
    <xf numFmtId="0" fontId="7" fillId="3" borderId="10" xfId="0" applyFont="1" applyFill="1" applyBorder="1" applyAlignment="1">
      <alignment horizontal="center" vertical="top" wrapText="1"/>
    </xf>
    <xf numFmtId="164" fontId="5" fillId="0" borderId="4" xfId="1" applyFont="1" applyBorder="1"/>
    <xf numFmtId="164" fontId="7" fillId="3" borderId="16" xfId="1" applyFont="1" applyFill="1" applyBorder="1" applyAlignment="1">
      <alignment horizontal="center" vertical="top" wrapText="1"/>
    </xf>
    <xf numFmtId="164" fontId="8" fillId="4" borderId="11" xfId="1" applyFont="1" applyFill="1" applyBorder="1" applyAlignment="1">
      <alignment horizontal="right" vertical="top" wrapText="1"/>
    </xf>
    <xf numFmtId="164" fontId="7" fillId="3" borderId="11" xfId="1" applyFont="1" applyFill="1" applyBorder="1" applyAlignment="1">
      <alignment horizontal="right" vertical="top" wrapText="1"/>
    </xf>
    <xf numFmtId="164" fontId="9" fillId="2" borderId="4" xfId="1" applyFont="1" applyFill="1" applyBorder="1" applyAlignment="1">
      <alignment horizontal="center" vertical="top" wrapText="1"/>
    </xf>
    <xf numFmtId="164" fontId="6" fillId="2" borderId="4" xfId="1" applyFont="1" applyFill="1" applyBorder="1" applyAlignment="1">
      <alignment horizontal="center" vertical="top" wrapText="1"/>
    </xf>
    <xf numFmtId="164" fontId="0" fillId="0" borderId="0" xfId="1" applyFont="1"/>
    <xf numFmtId="0" fontId="7" fillId="3" borderId="13" xfId="0" applyFont="1" applyFill="1" applyBorder="1" applyAlignment="1">
      <alignment horizontal="center" vertical="top" wrapText="1"/>
    </xf>
    <xf numFmtId="164" fontId="7" fillId="3" borderId="12" xfId="1" applyFont="1" applyFill="1" applyBorder="1" applyAlignment="1">
      <alignment horizontal="center" vertical="top" wrapText="1"/>
    </xf>
    <xf numFmtId="164" fontId="8" fillId="4" borderId="10" xfId="1" applyFont="1" applyFill="1" applyBorder="1" applyAlignment="1">
      <alignment horizontal="right" vertical="top" wrapText="1"/>
    </xf>
    <xf numFmtId="164" fontId="7" fillId="3" borderId="10" xfId="1" applyFont="1" applyFill="1" applyBorder="1" applyAlignment="1">
      <alignment horizontal="right" vertical="top" wrapText="1"/>
    </xf>
    <xf numFmtId="9" fontId="5" fillId="0" borderId="4" xfId="2" applyFont="1" applyBorder="1"/>
    <xf numFmtId="9" fontId="7" fillId="3" borderId="10" xfId="2" applyFont="1" applyFill="1" applyBorder="1" applyAlignment="1">
      <alignment horizontal="center" vertical="top" wrapText="1"/>
    </xf>
    <xf numFmtId="9" fontId="8" fillId="4" borderId="10" xfId="2" applyFont="1" applyFill="1" applyBorder="1" applyAlignment="1">
      <alignment horizontal="right" vertical="top" wrapText="1"/>
    </xf>
    <xf numFmtId="9" fontId="7" fillId="3" borderId="10" xfId="2" applyFont="1" applyFill="1" applyBorder="1" applyAlignment="1">
      <alignment horizontal="right" vertical="top" wrapText="1"/>
    </xf>
    <xf numFmtId="9" fontId="9" fillId="2" borderId="4" xfId="2" applyFont="1" applyFill="1" applyBorder="1" applyAlignment="1">
      <alignment horizontal="center" vertical="top" wrapText="1"/>
    </xf>
    <xf numFmtId="9" fontId="6" fillId="2" borderId="4" xfId="2" applyFont="1" applyFill="1" applyBorder="1" applyAlignment="1">
      <alignment horizontal="center" vertical="top" wrapText="1"/>
    </xf>
    <xf numFmtId="9" fontId="0" fillId="0" borderId="0" xfId="2" applyFont="1"/>
    <xf numFmtId="0" fontId="8" fillId="4" borderId="12" xfId="0" applyFont="1" applyFill="1" applyBorder="1" applyAlignment="1">
      <alignment horizontal="right" vertical="top" wrapText="1"/>
    </xf>
    <xf numFmtId="0" fontId="7" fillId="3" borderId="12" xfId="0" applyFont="1" applyFill="1" applyBorder="1" applyAlignment="1">
      <alignment horizontal="right" vertical="top" wrapText="1"/>
    </xf>
    <xf numFmtId="164" fontId="12" fillId="2" borderId="4" xfId="1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right" vertical="top" wrapText="1"/>
    </xf>
    <xf numFmtId="164" fontId="8" fillId="4" borderId="21" xfId="1" applyFont="1" applyFill="1" applyBorder="1" applyAlignment="1">
      <alignment horizontal="right" vertical="top" wrapText="1"/>
    </xf>
    <xf numFmtId="0" fontId="9" fillId="2" borderId="9" xfId="0" applyFont="1" applyFill="1" applyBorder="1" applyAlignment="1">
      <alignment horizontal="center" vertical="top" wrapText="1"/>
    </xf>
    <xf numFmtId="4" fontId="6" fillId="2" borderId="2" xfId="0" applyNumberFormat="1" applyFont="1" applyFill="1" applyBorder="1" applyAlignment="1">
      <alignment vertical="top" wrapText="1"/>
    </xf>
    <xf numFmtId="4" fontId="6" fillId="2" borderId="20" xfId="0" applyNumberFormat="1" applyFont="1" applyFill="1" applyBorder="1" applyAlignment="1">
      <alignment vertical="top" wrapText="1"/>
    </xf>
    <xf numFmtId="0" fontId="9" fillId="2" borderId="23" xfId="0" applyFont="1" applyFill="1" applyBorder="1" applyAlignment="1">
      <alignment horizontal="center" vertical="top" wrapText="1"/>
    </xf>
    <xf numFmtId="164" fontId="6" fillId="2" borderId="9" xfId="1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horizontal="right" vertical="top" wrapText="1"/>
    </xf>
    <xf numFmtId="0" fontId="8" fillId="10" borderId="5" xfId="0" applyFont="1" applyFill="1" applyBorder="1" applyAlignment="1">
      <alignment horizontal="right" vertical="top" wrapText="1"/>
    </xf>
    <xf numFmtId="0" fontId="8" fillId="11" borderId="5" xfId="0" applyFont="1" applyFill="1" applyBorder="1" applyAlignment="1">
      <alignment horizontal="right" vertical="top" wrapText="1"/>
    </xf>
    <xf numFmtId="0" fontId="9" fillId="0" borderId="4" xfId="3" applyFont="1" applyAlignment="1">
      <alignment horizontal="center" vertical="top"/>
    </xf>
    <xf numFmtId="0" fontId="19" fillId="0" borderId="4" xfId="3" applyFont="1" applyAlignment="1">
      <alignment horizontal="left" vertical="top" wrapText="1"/>
    </xf>
    <xf numFmtId="0" fontId="9" fillId="0" borderId="4" xfId="3" applyFont="1" applyAlignment="1">
      <alignment horizontal="center"/>
    </xf>
    <xf numFmtId="166" fontId="20" fillId="0" borderId="9" xfId="3" applyNumberFormat="1" applyFont="1" applyBorder="1" applyAlignment="1">
      <alignment vertical="center"/>
    </xf>
    <xf numFmtId="166" fontId="17" fillId="0" borderId="9" xfId="3" applyNumberFormat="1" applyFont="1" applyBorder="1" applyAlignment="1">
      <alignment vertical="center"/>
    </xf>
    <xf numFmtId="167" fontId="21" fillId="0" borderId="4" xfId="3" applyNumberFormat="1" applyFont="1" applyAlignment="1">
      <alignment horizontal="center"/>
    </xf>
    <xf numFmtId="167" fontId="22" fillId="0" borderId="4" xfId="3" applyNumberFormat="1" applyFont="1" applyAlignment="1">
      <alignment horizontal="center"/>
    </xf>
    <xf numFmtId="0" fontId="20" fillId="0" borderId="4" xfId="3" applyFont="1" applyAlignment="1">
      <alignment horizontal="center" vertical="top"/>
    </xf>
    <xf numFmtId="4" fontId="9" fillId="0" borderId="4" xfId="3" applyNumberFormat="1" applyFont="1" applyAlignment="1">
      <alignment horizontal="center" vertical="top"/>
    </xf>
    <xf numFmtId="4" fontId="23" fillId="0" borderId="4" xfId="3" applyNumberFormat="1" applyFont="1" applyAlignment="1">
      <alignment horizontal="center" vertical="center"/>
    </xf>
    <xf numFmtId="166" fontId="20" fillId="0" borderId="4" xfId="3" applyNumberFormat="1" applyFont="1" applyAlignment="1">
      <alignment vertical="center"/>
    </xf>
    <xf numFmtId="4" fontId="24" fillId="0" borderId="4" xfId="3" applyNumberFormat="1" applyFont="1" applyAlignment="1">
      <alignment horizontal="center" vertical="center"/>
    </xf>
    <xf numFmtId="166" fontId="16" fillId="0" borderId="4" xfId="3" applyNumberFormat="1" applyFont="1" applyAlignment="1">
      <alignment vertical="center"/>
    </xf>
    <xf numFmtId="0" fontId="25" fillId="0" borderId="4" xfId="3" applyFont="1" applyAlignment="1">
      <alignment horizontal="center" vertical="top"/>
    </xf>
    <xf numFmtId="0" fontId="29" fillId="0" borderId="28" xfId="3" applyFont="1" applyBorder="1" applyAlignment="1">
      <alignment vertical="center"/>
    </xf>
    <xf numFmtId="0" fontId="6" fillId="12" borderId="26" xfId="3" applyFont="1" applyFill="1" applyBorder="1" applyAlignment="1">
      <alignment horizontal="center" vertical="center"/>
    </xf>
    <xf numFmtId="0" fontId="6" fillId="12" borderId="4" xfId="3" applyFont="1" applyFill="1" applyAlignment="1">
      <alignment horizontal="center" vertical="center"/>
    </xf>
    <xf numFmtId="0" fontId="6" fillId="12" borderId="4" xfId="3" applyFont="1" applyFill="1" applyAlignment="1">
      <alignment horizontal="left" vertical="center" wrapText="1"/>
    </xf>
    <xf numFmtId="0" fontId="27" fillId="2" borderId="43" xfId="3" applyFont="1" applyFill="1" applyBorder="1" applyAlignment="1">
      <alignment horizontal="center" vertical="center"/>
    </xf>
    <xf numFmtId="0" fontId="17" fillId="0" borderId="43" xfId="3" applyFont="1" applyBorder="1"/>
    <xf numFmtId="2" fontId="18" fillId="12" borderId="22" xfId="3" applyNumberFormat="1" applyFont="1" applyFill="1" applyBorder="1" applyAlignment="1">
      <alignment horizontal="center" vertical="center"/>
    </xf>
    <xf numFmtId="0" fontId="0" fillId="0" borderId="4" xfId="0" applyBorder="1"/>
    <xf numFmtId="14" fontId="29" fillId="0" borderId="45" xfId="3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horizontal="left" vertical="top" wrapText="1"/>
    </xf>
    <xf numFmtId="2" fontId="6" fillId="2" borderId="1" xfId="0" applyNumberFormat="1" applyFont="1" applyFill="1" applyBorder="1" applyAlignment="1">
      <alignment horizontal="left" vertical="top" wrapText="1"/>
    </xf>
    <xf numFmtId="2" fontId="4" fillId="2" borderId="5" xfId="0" applyNumberFormat="1" applyFont="1" applyFill="1" applyBorder="1" applyAlignment="1">
      <alignment horizontal="left" vertical="top" wrapText="1"/>
    </xf>
    <xf numFmtId="2" fontId="7" fillId="3" borderId="5" xfId="0" applyNumberFormat="1" applyFont="1" applyFill="1" applyBorder="1" applyAlignment="1">
      <alignment horizontal="left" vertical="top" wrapText="1"/>
    </xf>
    <xf numFmtId="2" fontId="8" fillId="4" borderId="5" xfId="0" applyNumberFormat="1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2" fontId="0" fillId="0" borderId="0" xfId="0" applyNumberFormat="1"/>
    <xf numFmtId="166" fontId="17" fillId="0" borderId="4" xfId="3" applyNumberFormat="1" applyFont="1" applyAlignment="1">
      <alignment vertical="center"/>
    </xf>
    <xf numFmtId="2" fontId="8" fillId="4" borderId="10" xfId="0" applyNumberFormat="1" applyFont="1" applyFill="1" applyBorder="1" applyAlignment="1">
      <alignment horizontal="right" vertical="top" wrapText="1"/>
    </xf>
    <xf numFmtId="4" fontId="31" fillId="0" borderId="4" xfId="3" applyNumberFormat="1" applyFont="1" applyAlignment="1">
      <alignment vertical="center"/>
    </xf>
    <xf numFmtId="0" fontId="10" fillId="0" borderId="0" xfId="0" applyFont="1" applyAlignment="1">
      <alignment vertical="center"/>
    </xf>
    <xf numFmtId="168" fontId="0" fillId="0" borderId="0" xfId="0" applyNumberFormat="1"/>
    <xf numFmtId="164" fontId="8" fillId="4" borderId="50" xfId="1" applyFont="1" applyFill="1" applyBorder="1" applyAlignment="1">
      <alignment horizontal="right" vertical="top" wrapText="1"/>
    </xf>
    <xf numFmtId="164" fontId="12" fillId="2" borderId="9" xfId="1" applyFont="1" applyFill="1" applyBorder="1" applyAlignment="1">
      <alignment horizontal="center" vertical="center" wrapText="1"/>
    </xf>
    <xf numFmtId="0" fontId="33" fillId="0" borderId="4" xfId="4" applyFont="1"/>
    <xf numFmtId="0" fontId="34" fillId="0" borderId="4" xfId="4" applyFont="1"/>
    <xf numFmtId="0" fontId="35" fillId="0" borderId="4" xfId="4" applyFont="1"/>
    <xf numFmtId="0" fontId="34" fillId="0" borderId="52" xfId="4" applyFont="1" applyBorder="1"/>
    <xf numFmtId="0" fontId="34" fillId="0" borderId="52" xfId="4" applyFont="1" applyBorder="1" applyAlignment="1">
      <alignment vertical="center"/>
    </xf>
    <xf numFmtId="0" fontId="0" fillId="0" borderId="0" xfId="0" applyAlignment="1">
      <alignment horizontal="center"/>
    </xf>
    <xf numFmtId="0" fontId="39" fillId="16" borderId="9" xfId="5" applyFont="1" applyFill="1" applyBorder="1" applyAlignment="1">
      <alignment horizontal="center" vertical="center" wrapText="1"/>
    </xf>
    <xf numFmtId="0" fontId="36" fillId="0" borderId="4" xfId="5" applyFont="1" applyAlignment="1">
      <alignment horizontal="center" vertical="center"/>
    </xf>
    <xf numFmtId="0" fontId="43" fillId="16" borderId="9" xfId="5" applyFont="1" applyFill="1" applyBorder="1" applyAlignment="1">
      <alignment horizontal="center" vertical="center" wrapText="1"/>
    </xf>
    <xf numFmtId="0" fontId="44" fillId="0" borderId="4" xfId="5" applyFont="1" applyAlignment="1">
      <alignment horizontal="center" vertical="center"/>
    </xf>
    <xf numFmtId="0" fontId="39" fillId="17" borderId="63" xfId="5" applyFont="1" applyFill="1" applyBorder="1" applyAlignment="1">
      <alignment horizontal="center" vertical="center" wrapText="1"/>
    </xf>
    <xf numFmtId="0" fontId="39" fillId="17" borderId="63" xfId="5" applyFont="1" applyFill="1" applyBorder="1" applyAlignment="1">
      <alignment vertical="center" wrapText="1"/>
    </xf>
    <xf numFmtId="0" fontId="39" fillId="16" borderId="63" xfId="5" applyFont="1" applyFill="1" applyBorder="1" applyAlignment="1">
      <alignment vertical="center" wrapText="1"/>
    </xf>
    <xf numFmtId="4" fontId="39" fillId="16" borderId="65" xfId="5" applyNumberFormat="1" applyFont="1" applyFill="1" applyBorder="1" applyAlignment="1">
      <alignment horizontal="right" vertical="center" wrapText="1"/>
    </xf>
    <xf numFmtId="43" fontId="36" fillId="18" borderId="66" xfId="6" applyFont="1" applyFill="1" applyBorder="1" applyAlignment="1">
      <alignment horizontal="right" vertical="center"/>
    </xf>
    <xf numFmtId="10" fontId="39" fillId="16" borderId="67" xfId="8" applyNumberFormat="1" applyFont="1" applyFill="1" applyBorder="1" applyAlignment="1">
      <alignment horizontal="right" vertical="center" wrapText="1"/>
    </xf>
    <xf numFmtId="0" fontId="38" fillId="14" borderId="63" xfId="5" applyFont="1" applyFill="1" applyBorder="1" applyAlignment="1">
      <alignment horizontal="center" vertical="center" wrapText="1"/>
    </xf>
    <xf numFmtId="4" fontId="38" fillId="14" borderId="66" xfId="5" applyNumberFormat="1" applyFont="1" applyFill="1" applyBorder="1" applyAlignment="1">
      <alignment horizontal="right" vertical="center" wrapText="1"/>
    </xf>
    <xf numFmtId="43" fontId="34" fillId="0" borderId="66" xfId="6" applyFont="1" applyBorder="1" applyAlignment="1">
      <alignment horizontal="right" vertical="center"/>
    </xf>
    <xf numFmtId="10" fontId="34" fillId="0" borderId="68" xfId="8" applyNumberFormat="1" applyFont="1" applyBorder="1" applyAlignment="1">
      <alignment horizontal="right" vertical="center"/>
    </xf>
    <xf numFmtId="0" fontId="38" fillId="14" borderId="66" xfId="5" applyFont="1" applyFill="1" applyBorder="1" applyAlignment="1">
      <alignment horizontal="center" vertical="center" wrapText="1"/>
    </xf>
    <xf numFmtId="43" fontId="34" fillId="15" borderId="66" xfId="6" applyFont="1" applyFill="1" applyBorder="1" applyAlignment="1">
      <alignment horizontal="right" vertical="center"/>
    </xf>
    <xf numFmtId="43" fontId="34" fillId="0" borderId="66" xfId="6" applyFont="1" applyFill="1" applyBorder="1" applyAlignment="1">
      <alignment horizontal="right" vertical="center"/>
    </xf>
    <xf numFmtId="0" fontId="39" fillId="16" borderId="69" xfId="5" applyFont="1" applyFill="1" applyBorder="1" applyAlignment="1">
      <alignment horizontal="center" vertical="center" wrapText="1"/>
    </xf>
    <xf numFmtId="0" fontId="39" fillId="16" borderId="70" xfId="5" applyFont="1" applyFill="1" applyBorder="1" applyAlignment="1">
      <alignment vertical="center" wrapText="1"/>
    </xf>
    <xf numFmtId="4" fontId="39" fillId="16" borderId="66" xfId="5" applyNumberFormat="1" applyFont="1" applyFill="1" applyBorder="1" applyAlignment="1">
      <alignment horizontal="right" vertical="center" wrapText="1"/>
    </xf>
    <xf numFmtId="10" fontId="38" fillId="19" borderId="68" xfId="8" applyNumberFormat="1" applyFont="1" applyFill="1" applyBorder="1" applyAlignment="1">
      <alignment horizontal="right" vertical="center" wrapText="1"/>
    </xf>
    <xf numFmtId="0" fontId="38" fillId="19" borderId="71" xfId="5" applyFont="1" applyFill="1" applyBorder="1" applyAlignment="1">
      <alignment horizontal="center" vertical="center" wrapText="1"/>
    </xf>
    <xf numFmtId="0" fontId="39" fillId="16" borderId="71" xfId="5" applyFont="1" applyFill="1" applyBorder="1" applyAlignment="1">
      <alignment horizontal="center" vertical="center" wrapText="1"/>
    </xf>
    <xf numFmtId="0" fontId="39" fillId="16" borderId="66" xfId="5" applyFont="1" applyFill="1" applyBorder="1" applyAlignment="1">
      <alignment vertical="center" wrapText="1"/>
    </xf>
    <xf numFmtId="0" fontId="39" fillId="20" borderId="71" xfId="5" applyFont="1" applyFill="1" applyBorder="1" applyAlignment="1">
      <alignment horizontal="center" vertical="center" wrapText="1"/>
    </xf>
    <xf numFmtId="0" fontId="39" fillId="20" borderId="66" xfId="5" applyFont="1" applyFill="1" applyBorder="1" applyAlignment="1">
      <alignment vertical="center" wrapText="1"/>
    </xf>
    <xf numFmtId="169" fontId="39" fillId="20" borderId="66" xfId="5" applyNumberFormat="1" applyFont="1" applyFill="1" applyBorder="1" applyAlignment="1">
      <alignment horizontal="right" vertical="center" wrapText="1"/>
    </xf>
    <xf numFmtId="4" fontId="39" fillId="20" borderId="66" xfId="5" applyNumberFormat="1" applyFont="1" applyFill="1" applyBorder="1" applyAlignment="1">
      <alignment horizontal="right" vertical="center" wrapText="1"/>
    </xf>
    <xf numFmtId="43" fontId="34" fillId="21" borderId="66" xfId="6" applyFont="1" applyFill="1" applyBorder="1" applyAlignment="1">
      <alignment horizontal="right" vertical="center"/>
    </xf>
    <xf numFmtId="43" fontId="36" fillId="21" borderId="66" xfId="6" applyFont="1" applyFill="1" applyBorder="1" applyAlignment="1">
      <alignment horizontal="right" vertical="center"/>
    </xf>
    <xf numFmtId="10" fontId="39" fillId="20" borderId="68" xfId="8" applyNumberFormat="1" applyFont="1" applyFill="1" applyBorder="1" applyAlignment="1">
      <alignment horizontal="right" vertical="center" wrapText="1"/>
    </xf>
    <xf numFmtId="0" fontId="38" fillId="0" borderId="71" xfId="5" applyFont="1" applyBorder="1" applyAlignment="1">
      <alignment horizontal="center" vertical="center" wrapText="1"/>
    </xf>
    <xf numFmtId="0" fontId="34" fillId="15" borderId="4" xfId="5" applyFont="1" applyFill="1" applyAlignment="1">
      <alignment vertical="center"/>
    </xf>
    <xf numFmtId="0" fontId="38" fillId="20" borderId="66" xfId="5" applyFont="1" applyFill="1" applyBorder="1" applyAlignment="1">
      <alignment horizontal="center" vertical="center" wrapText="1"/>
    </xf>
    <xf numFmtId="0" fontId="39" fillId="24" borderId="71" xfId="5" applyFont="1" applyFill="1" applyBorder="1" applyAlignment="1">
      <alignment horizontal="center" vertical="center" wrapText="1"/>
    </xf>
    <xf numFmtId="0" fontId="39" fillId="24" borderId="66" xfId="5" applyFont="1" applyFill="1" applyBorder="1" applyAlignment="1">
      <alignment vertical="center" wrapText="1"/>
    </xf>
    <xf numFmtId="4" fontId="39" fillId="24" borderId="66" xfId="5" applyNumberFormat="1" applyFont="1" applyFill="1" applyBorder="1" applyAlignment="1">
      <alignment horizontal="right" vertical="center" wrapText="1"/>
    </xf>
    <xf numFmtId="43" fontId="36" fillId="26" borderId="66" xfId="6" applyFont="1" applyFill="1" applyBorder="1" applyAlignment="1">
      <alignment horizontal="right" vertical="center"/>
    </xf>
    <xf numFmtId="10" fontId="39" fillId="24" borderId="68" xfId="8" applyNumberFormat="1" applyFont="1" applyFill="1" applyBorder="1" applyAlignment="1">
      <alignment horizontal="right" vertical="center" wrapText="1"/>
    </xf>
    <xf numFmtId="0" fontId="38" fillId="24" borderId="71" xfId="5" applyFont="1" applyFill="1" applyBorder="1" applyAlignment="1">
      <alignment horizontal="center" vertical="center" wrapText="1"/>
    </xf>
    <xf numFmtId="0" fontId="38" fillId="24" borderId="66" xfId="5" applyFont="1" applyFill="1" applyBorder="1" applyAlignment="1">
      <alignment horizontal="center" vertical="center" wrapText="1"/>
    </xf>
    <xf numFmtId="43" fontId="34" fillId="26" borderId="66" xfId="6" applyFont="1" applyFill="1" applyBorder="1" applyAlignment="1">
      <alignment horizontal="right" vertical="center"/>
    </xf>
    <xf numFmtId="0" fontId="38" fillId="20" borderId="71" xfId="5" applyFont="1" applyFill="1" applyBorder="1" applyAlignment="1">
      <alignment horizontal="center" vertical="center" wrapText="1"/>
    </xf>
    <xf numFmtId="10" fontId="39" fillId="19" borderId="68" xfId="8" applyNumberFormat="1" applyFont="1" applyFill="1" applyBorder="1" applyAlignment="1">
      <alignment horizontal="right" vertical="center" wrapText="1"/>
    </xf>
    <xf numFmtId="4" fontId="45" fillId="28" borderId="75" xfId="5" applyNumberFormat="1" applyFont="1" applyFill="1" applyBorder="1" applyAlignment="1">
      <alignment horizontal="right" vertical="center" wrapText="1"/>
    </xf>
    <xf numFmtId="10" fontId="36" fillId="29" borderId="76" xfId="8" applyNumberFormat="1" applyFont="1" applyFill="1" applyBorder="1" applyAlignment="1">
      <alignment vertical="center"/>
    </xf>
    <xf numFmtId="0" fontId="38" fillId="19" borderId="18" xfId="5" applyFont="1" applyFill="1" applyBorder="1" applyAlignment="1">
      <alignment horizontal="center" vertical="center" wrapText="1"/>
    </xf>
    <xf numFmtId="0" fontId="38" fillId="19" borderId="4" xfId="5" applyFont="1" applyFill="1" applyAlignment="1">
      <alignment vertical="center" wrapText="1"/>
    </xf>
    <xf numFmtId="0" fontId="38" fillId="19" borderId="4" xfId="5" applyFont="1" applyFill="1" applyAlignment="1">
      <alignment horizontal="center" vertical="center" wrapText="1"/>
    </xf>
    <xf numFmtId="169" fontId="38" fillId="19" borderId="4" xfId="5" applyNumberFormat="1" applyFont="1" applyFill="1" applyAlignment="1">
      <alignment horizontal="right" vertical="center" wrapText="1"/>
    </xf>
    <xf numFmtId="4" fontId="38" fillId="19" borderId="4" xfId="5" applyNumberFormat="1" applyFont="1" applyFill="1" applyAlignment="1">
      <alignment horizontal="right" vertical="center" wrapText="1"/>
    </xf>
    <xf numFmtId="4" fontId="38" fillId="14" borderId="4" xfId="5" applyNumberFormat="1" applyFont="1" applyFill="1" applyAlignment="1">
      <alignment horizontal="right" vertical="center" wrapText="1"/>
    </xf>
    <xf numFmtId="43" fontId="34" fillId="15" borderId="4" xfId="6" applyFont="1" applyFill="1" applyBorder="1" applyAlignment="1">
      <alignment horizontal="right" vertical="center"/>
    </xf>
    <xf numFmtId="43" fontId="34" fillId="0" borderId="4" xfId="6" applyFont="1" applyBorder="1" applyAlignment="1">
      <alignment horizontal="right" vertical="center"/>
    </xf>
    <xf numFmtId="10" fontId="39" fillId="19" borderId="19" xfId="8" applyNumberFormat="1" applyFont="1" applyFill="1" applyBorder="1" applyAlignment="1">
      <alignment horizontal="right" vertical="center" wrapText="1"/>
    </xf>
    <xf numFmtId="0" fontId="39" fillId="16" borderId="77" xfId="5" applyFont="1" applyFill="1" applyBorder="1" applyAlignment="1">
      <alignment horizontal="center" vertical="center" wrapText="1"/>
    </xf>
    <xf numFmtId="0" fontId="39" fillId="16" borderId="77" xfId="5" applyFont="1" applyFill="1" applyBorder="1" applyAlignment="1">
      <alignment vertical="center" wrapText="1"/>
    </xf>
    <xf numFmtId="169" fontId="39" fillId="16" borderId="77" xfId="5" applyNumberFormat="1" applyFont="1" applyFill="1" applyBorder="1" applyAlignment="1">
      <alignment horizontal="right" vertical="center" wrapText="1"/>
    </xf>
    <xf numFmtId="4" fontId="39" fillId="16" borderId="58" xfId="5" applyNumberFormat="1" applyFont="1" applyFill="1" applyBorder="1" applyAlignment="1">
      <alignment horizontal="right" vertical="center" wrapText="1"/>
    </xf>
    <xf numFmtId="4" fontId="39" fillId="16" borderId="70" xfId="5" applyNumberFormat="1" applyFont="1" applyFill="1" applyBorder="1" applyAlignment="1">
      <alignment horizontal="right" vertical="center" wrapText="1"/>
    </xf>
    <xf numFmtId="43" fontId="36" fillId="18" borderId="70" xfId="6" applyFont="1" applyFill="1" applyBorder="1" applyAlignment="1">
      <alignment horizontal="right" vertical="center"/>
    </xf>
    <xf numFmtId="10" fontId="39" fillId="16" borderId="78" xfId="8" applyNumberFormat="1" applyFont="1" applyFill="1" applyBorder="1" applyAlignment="1">
      <alignment horizontal="right" vertical="center" wrapText="1"/>
    </xf>
    <xf numFmtId="0" fontId="38" fillId="19" borderId="66" xfId="5" applyFont="1" applyFill="1" applyBorder="1" applyAlignment="1">
      <alignment vertical="center" wrapText="1"/>
    </xf>
    <xf numFmtId="0" fontId="38" fillId="19" borderId="66" xfId="5" applyFont="1" applyFill="1" applyBorder="1" applyAlignment="1">
      <alignment horizontal="center" vertical="center" wrapText="1"/>
    </xf>
    <xf numFmtId="169" fontId="38" fillId="0" borderId="66" xfId="5" applyNumberFormat="1" applyFont="1" applyBorder="1" applyAlignment="1">
      <alignment horizontal="right" vertical="center" wrapText="1"/>
    </xf>
    <xf numFmtId="4" fontId="38" fillId="0" borderId="66" xfId="5" applyNumberFormat="1" applyFont="1" applyBorder="1" applyAlignment="1">
      <alignment horizontal="right" vertical="center" wrapText="1"/>
    </xf>
    <xf numFmtId="0" fontId="34" fillId="0" borderId="4" xfId="5" applyFont="1" applyAlignment="1">
      <alignment vertical="center"/>
    </xf>
    <xf numFmtId="4" fontId="45" fillId="31" borderId="75" xfId="5" applyNumberFormat="1" applyFont="1" applyFill="1" applyBorder="1" applyAlignment="1">
      <alignment horizontal="right" vertical="center" wrapText="1"/>
    </xf>
    <xf numFmtId="0" fontId="45" fillId="0" borderId="4" xfId="5" applyFont="1" applyAlignment="1">
      <alignment horizontal="center" vertical="center" wrapText="1"/>
    </xf>
    <xf numFmtId="4" fontId="45" fillId="0" borderId="4" xfId="5" applyNumberFormat="1" applyFont="1" applyAlignment="1">
      <alignment horizontal="right" vertical="center" wrapText="1"/>
    </xf>
    <xf numFmtId="0" fontId="34" fillId="0" borderId="4" xfId="5" applyFont="1" applyAlignment="1">
      <alignment horizontal="center" vertical="center"/>
    </xf>
    <xf numFmtId="10" fontId="36" fillId="0" borderId="4" xfId="8" applyNumberFormat="1" applyFont="1" applyFill="1" applyBorder="1" applyAlignment="1">
      <alignment vertical="center"/>
    </xf>
    <xf numFmtId="4" fontId="31" fillId="0" borderId="4" xfId="3" applyNumberFormat="1" applyFont="1" applyAlignment="1">
      <alignment horizontal="center" vertical="center"/>
    </xf>
    <xf numFmtId="0" fontId="10" fillId="0" borderId="0" xfId="0" applyFont="1"/>
    <xf numFmtId="0" fontId="6" fillId="2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right" vertical="top" wrapText="1"/>
    </xf>
    <xf numFmtId="165" fontId="7" fillId="3" borderId="4" xfId="0" applyNumberFormat="1" applyFont="1" applyFill="1" applyBorder="1" applyAlignment="1">
      <alignment horizontal="right" vertical="top" wrapText="1"/>
    </xf>
    <xf numFmtId="165" fontId="8" fillId="4" borderId="4" xfId="0" applyNumberFormat="1" applyFont="1" applyFill="1" applyBorder="1" applyAlignment="1">
      <alignment horizontal="right" vertical="top" wrapText="1"/>
    </xf>
    <xf numFmtId="4" fontId="6" fillId="2" borderId="4" xfId="0" applyNumberFormat="1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165" fontId="7" fillId="3" borderId="88" xfId="0" applyNumberFormat="1" applyFont="1" applyFill="1" applyBorder="1" applyAlignment="1">
      <alignment horizontal="right" vertical="top" wrapText="1"/>
    </xf>
    <xf numFmtId="165" fontId="7" fillId="3" borderId="89" xfId="0" applyNumberFormat="1" applyFont="1" applyFill="1" applyBorder="1" applyAlignment="1">
      <alignment horizontal="right" vertical="top" wrapText="1"/>
    </xf>
    <xf numFmtId="0" fontId="7" fillId="3" borderId="17" xfId="0" applyFont="1" applyFill="1" applyBorder="1" applyAlignment="1">
      <alignment horizontal="left" vertical="top" wrapText="1"/>
    </xf>
    <xf numFmtId="4" fontId="8" fillId="4" borderId="17" xfId="0" applyNumberFormat="1" applyFont="1" applyFill="1" applyBorder="1" applyAlignment="1">
      <alignment horizontal="right" vertical="top" wrapText="1"/>
    </xf>
    <xf numFmtId="4" fontId="6" fillId="2" borderId="19" xfId="0" applyNumberFormat="1" applyFont="1" applyFill="1" applyBorder="1" applyAlignment="1">
      <alignment vertical="top" wrapText="1"/>
    </xf>
    <xf numFmtId="10" fontId="6" fillId="2" borderId="2" xfId="0" applyNumberFormat="1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4" fontId="7" fillId="3" borderId="17" xfId="0" applyNumberFormat="1" applyFont="1" applyFill="1" applyBorder="1" applyAlignment="1">
      <alignment horizontal="left" vertical="top" wrapText="1"/>
    </xf>
    <xf numFmtId="4" fontId="6" fillId="2" borderId="4" xfId="0" applyNumberFormat="1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left" vertical="top" wrapText="1"/>
    </xf>
    <xf numFmtId="0" fontId="5" fillId="15" borderId="4" xfId="0" applyFont="1" applyFill="1" applyBorder="1"/>
    <xf numFmtId="0" fontId="6" fillId="32" borderId="4" xfId="0" applyFont="1" applyFill="1" applyBorder="1" applyAlignment="1">
      <alignment horizontal="right" vertical="top" wrapText="1"/>
    </xf>
    <xf numFmtId="164" fontId="6" fillId="2" borderId="19" xfId="1" applyFont="1" applyFill="1" applyBorder="1" applyAlignment="1">
      <alignment vertical="top" wrapText="1"/>
    </xf>
    <xf numFmtId="4" fontId="5" fillId="0" borderId="19" xfId="0" applyNumberFormat="1" applyFont="1" applyBorder="1"/>
    <xf numFmtId="164" fontId="6" fillId="2" borderId="9" xfId="1" applyFont="1" applyFill="1" applyBorder="1" applyAlignment="1">
      <alignment vertical="top" wrapText="1"/>
    </xf>
    <xf numFmtId="0" fontId="47" fillId="0" borderId="4" xfId="5" applyFont="1" applyAlignment="1">
      <alignment horizontal="center" vertical="center"/>
    </xf>
    <xf numFmtId="0" fontId="38" fillId="0" borderId="80" xfId="5" applyFont="1" applyBorder="1" applyAlignment="1">
      <alignment vertical="center" wrapText="1"/>
    </xf>
    <xf numFmtId="0" fontId="38" fillId="0" borderId="81" xfId="5" applyFont="1" applyBorder="1" applyAlignment="1">
      <alignment vertical="center" wrapText="1"/>
    </xf>
    <xf numFmtId="0" fontId="38" fillId="0" borderId="79" xfId="5" applyFont="1" applyBorder="1" applyAlignment="1">
      <alignment vertical="center"/>
    </xf>
    <xf numFmtId="0" fontId="38" fillId="0" borderId="82" xfId="5" applyFont="1" applyBorder="1" applyAlignment="1">
      <alignment vertical="center" wrapText="1"/>
    </xf>
    <xf numFmtId="0" fontId="38" fillId="0" borderId="84" xfId="5" applyFont="1" applyBorder="1"/>
    <xf numFmtId="0" fontId="38" fillId="0" borderId="87" xfId="5" applyFont="1" applyBorder="1"/>
    <xf numFmtId="0" fontId="4" fillId="33" borderId="5" xfId="0" applyFont="1" applyFill="1" applyBorder="1" applyAlignment="1">
      <alignment horizontal="center" vertical="top" wrapText="1"/>
    </xf>
    <xf numFmtId="0" fontId="4" fillId="33" borderId="17" xfId="0" applyFont="1" applyFill="1" applyBorder="1" applyAlignment="1">
      <alignment horizontal="center" vertical="top" wrapText="1"/>
    </xf>
    <xf numFmtId="43" fontId="34" fillId="0" borderId="4" xfId="5" applyNumberFormat="1" applyFont="1" applyAlignment="1">
      <alignment horizontal="center" vertical="center"/>
    </xf>
    <xf numFmtId="0" fontId="0" fillId="34" borderId="0" xfId="0" applyFill="1"/>
    <xf numFmtId="166" fontId="25" fillId="0" borderId="4" xfId="3" applyNumberFormat="1" applyFont="1" applyAlignment="1">
      <alignment vertical="center"/>
    </xf>
    <xf numFmtId="0" fontId="38" fillId="0" borderId="66" xfId="5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66" fontId="0" fillId="0" borderId="0" xfId="0" applyNumberFormat="1"/>
    <xf numFmtId="0" fontId="10" fillId="34" borderId="0" xfId="0" applyFont="1" applyFill="1"/>
    <xf numFmtId="0" fontId="0" fillId="34" borderId="0" xfId="0" applyFill="1" applyAlignment="1">
      <alignment horizontal="center"/>
    </xf>
    <xf numFmtId="0" fontId="20" fillId="34" borderId="4" xfId="3" applyFon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2" fontId="9" fillId="0" borderId="4" xfId="3" applyNumberFormat="1" applyFont="1" applyAlignment="1">
      <alignment horizontal="center"/>
    </xf>
    <xf numFmtId="2" fontId="9" fillId="0" borderId="4" xfId="3" applyNumberFormat="1" applyFont="1" applyAlignment="1">
      <alignment horizontal="center" vertical="top"/>
    </xf>
    <xf numFmtId="2" fontId="17" fillId="0" borderId="4" xfId="3" applyNumberFormat="1" applyFont="1" applyAlignment="1">
      <alignment horizontal="center" vertical="center"/>
    </xf>
    <xf numFmtId="4" fontId="17" fillId="0" borderId="4" xfId="3" applyNumberFormat="1" applyFont="1" applyAlignment="1">
      <alignment horizontal="center" vertical="center"/>
    </xf>
    <xf numFmtId="167" fontId="17" fillId="0" borderId="4" xfId="3" applyNumberFormat="1" applyFont="1" applyAlignment="1">
      <alignment vertical="center"/>
    </xf>
    <xf numFmtId="0" fontId="50" fillId="0" borderId="4" xfId="3" applyFont="1" applyAlignment="1">
      <alignment horizontal="left" vertical="top" wrapText="1"/>
    </xf>
    <xf numFmtId="0" fontId="25" fillId="0" borderId="4" xfId="3" applyFont="1" applyAlignment="1">
      <alignment horizontal="center"/>
    </xf>
    <xf numFmtId="4" fontId="25" fillId="0" borderId="4" xfId="3" applyNumberFormat="1" applyFont="1" applyAlignment="1">
      <alignment horizontal="center" vertical="top"/>
    </xf>
    <xf numFmtId="4" fontId="25" fillId="0" borderId="4" xfId="3" applyNumberFormat="1" applyFont="1" applyAlignment="1">
      <alignment horizontal="center" vertical="center"/>
    </xf>
    <xf numFmtId="167" fontId="25" fillId="0" borderId="4" xfId="3" applyNumberFormat="1" applyFont="1" applyAlignment="1">
      <alignment vertical="center"/>
    </xf>
    <xf numFmtId="0" fontId="48" fillId="0" borderId="0" xfId="0" applyFont="1"/>
    <xf numFmtId="0" fontId="10" fillId="0" borderId="0" xfId="0" applyFont="1" applyAlignment="1">
      <alignment wrapText="1"/>
    </xf>
    <xf numFmtId="2" fontId="48" fillId="0" borderId="0" xfId="0" applyNumberFormat="1" applyFont="1"/>
    <xf numFmtId="0" fontId="48" fillId="0" borderId="0" xfId="0" applyFont="1" applyAlignment="1">
      <alignment horizontal="center"/>
    </xf>
    <xf numFmtId="0" fontId="51" fillId="34" borderId="0" xfId="0" applyFont="1" applyFill="1" applyAlignment="1">
      <alignment horizontal="center" vertical="center"/>
    </xf>
    <xf numFmtId="2" fontId="10" fillId="0" borderId="0" xfId="0" applyNumberFormat="1" applyFont="1"/>
    <xf numFmtId="0" fontId="52" fillId="0" borderId="0" xfId="0" applyFont="1"/>
    <xf numFmtId="0" fontId="49" fillId="0" borderId="4" xfId="3" applyFont="1" applyAlignment="1">
      <alignment horizontal="left" vertical="top" wrapText="1"/>
    </xf>
    <xf numFmtId="0" fontId="19" fillId="35" borderId="4" xfId="3" applyFont="1" applyFill="1" applyAlignment="1">
      <alignment horizontal="left" vertical="top" wrapText="1"/>
    </xf>
    <xf numFmtId="0" fontId="10" fillId="35" borderId="0" xfId="0" applyFont="1" applyFill="1" applyAlignment="1">
      <alignment wrapText="1"/>
    </xf>
    <xf numFmtId="0" fontId="51" fillId="34" borderId="0" xfId="0" applyFont="1" applyFill="1" applyAlignment="1">
      <alignment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center" vertical="center"/>
    </xf>
    <xf numFmtId="0" fontId="34" fillId="0" borderId="52" xfId="4" applyFont="1" applyBorder="1" applyAlignment="1">
      <alignment horizontal="center" vertical="center" wrapText="1"/>
    </xf>
    <xf numFmtId="0" fontId="20" fillId="0" borderId="4" xfId="3" applyFont="1" applyAlignment="1">
      <alignment vertical="center"/>
    </xf>
    <xf numFmtId="0" fontId="20" fillId="0" borderId="4" xfId="3" applyFont="1" applyAlignment="1">
      <alignment horizontal="center" vertical="center"/>
    </xf>
    <xf numFmtId="0" fontId="10" fillId="0" borderId="91" xfId="0" applyFont="1" applyBorder="1"/>
    <xf numFmtId="2" fontId="9" fillId="0" borderId="91" xfId="3" applyNumberFormat="1" applyFont="1" applyBorder="1" applyAlignment="1">
      <alignment horizontal="center"/>
    </xf>
    <xf numFmtId="2" fontId="0" fillId="0" borderId="91" xfId="0" applyNumberFormat="1" applyBorder="1" applyAlignment="1">
      <alignment horizontal="center"/>
    </xf>
    <xf numFmtId="2" fontId="9" fillId="0" borderId="91" xfId="3" applyNumberFormat="1" applyFont="1" applyBorder="1" applyAlignment="1">
      <alignment horizontal="center" vertical="top"/>
    </xf>
    <xf numFmtId="2" fontId="0" fillId="0" borderId="92" xfId="0" applyNumberFormat="1" applyBorder="1" applyAlignment="1">
      <alignment horizontal="center"/>
    </xf>
    <xf numFmtId="0" fontId="10" fillId="0" borderId="4" xfId="0" applyFont="1" applyBorder="1"/>
    <xf numFmtId="2" fontId="0" fillId="0" borderId="4" xfId="0" applyNumberFormat="1" applyBorder="1" applyAlignment="1">
      <alignment horizontal="center"/>
    </xf>
    <xf numFmtId="2" fontId="0" fillId="0" borderId="44" xfId="0" applyNumberFormat="1" applyBorder="1" applyAlignment="1">
      <alignment horizontal="center"/>
    </xf>
    <xf numFmtId="2" fontId="0" fillId="34" borderId="44" xfId="0" applyNumberFormat="1" applyFill="1" applyBorder="1" applyAlignment="1">
      <alignment horizontal="center"/>
    </xf>
    <xf numFmtId="0" fontId="10" fillId="0" borderId="95" xfId="0" applyFont="1" applyBorder="1"/>
    <xf numFmtId="2" fontId="0" fillId="0" borderId="95" xfId="0" applyNumberFormat="1" applyBorder="1" applyAlignment="1">
      <alignment horizontal="center"/>
    </xf>
    <xf numFmtId="2" fontId="0" fillId="0" borderId="96" xfId="0" applyNumberFormat="1" applyBorder="1" applyAlignment="1">
      <alignment horizontal="center"/>
    </xf>
    <xf numFmtId="170" fontId="17" fillId="0" borderId="9" xfId="3" applyNumberFormat="1" applyFont="1" applyBorder="1" applyAlignment="1">
      <alignment vertical="center"/>
    </xf>
    <xf numFmtId="167" fontId="17" fillId="0" borderId="9" xfId="3" applyNumberFormat="1" applyFont="1" applyBorder="1" applyAlignment="1">
      <alignment vertical="center"/>
    </xf>
    <xf numFmtId="2" fontId="34" fillId="0" borderId="4" xfId="5" applyNumberFormat="1" applyFont="1" applyAlignment="1">
      <alignment horizontal="center" vertical="center"/>
    </xf>
    <xf numFmtId="0" fontId="36" fillId="14" borderId="4" xfId="5" applyFont="1" applyFill="1" applyAlignment="1">
      <alignment horizontal="center" vertical="center" wrapText="1"/>
    </xf>
    <xf numFmtId="0" fontId="38" fillId="15" borderId="4" xfId="5" applyFont="1" applyFill="1" applyAlignment="1">
      <alignment vertical="center"/>
    </xf>
    <xf numFmtId="0" fontId="38" fillId="15" borderId="4" xfId="5" applyFont="1" applyFill="1" applyAlignment="1">
      <alignment vertical="center" wrapText="1"/>
    </xf>
    <xf numFmtId="43" fontId="38" fillId="15" borderId="4" xfId="6" applyFont="1" applyFill="1" applyAlignment="1">
      <alignment vertical="center"/>
    </xf>
    <xf numFmtId="164" fontId="38" fillId="15" borderId="4" xfId="7" applyFont="1" applyFill="1" applyAlignment="1">
      <alignment vertical="center"/>
    </xf>
    <xf numFmtId="10" fontId="38" fillId="15" borderId="4" xfId="8" applyNumberFormat="1" applyFont="1" applyFill="1" applyAlignment="1">
      <alignment vertical="center"/>
    </xf>
    <xf numFmtId="0" fontId="39" fillId="15" borderId="18" xfId="5" applyFont="1" applyFill="1" applyBorder="1" applyAlignment="1">
      <alignment vertical="center"/>
    </xf>
    <xf numFmtId="0" fontId="39" fillId="0" borderId="4" xfId="5" applyFont="1" applyAlignment="1">
      <alignment vertical="center" wrapText="1"/>
    </xf>
    <xf numFmtId="0" fontId="39" fillId="0" borderId="18" xfId="5" applyFont="1" applyBorder="1" applyAlignment="1">
      <alignment vertical="center"/>
    </xf>
    <xf numFmtId="0" fontId="39" fillId="0" borderId="4" xfId="5" applyFont="1" applyAlignment="1">
      <alignment vertical="center"/>
    </xf>
    <xf numFmtId="14" fontId="39" fillId="0" borderId="19" xfId="8" applyNumberFormat="1" applyFont="1" applyFill="1" applyBorder="1" applyAlignment="1">
      <alignment vertical="center"/>
    </xf>
    <xf numFmtId="0" fontId="36" fillId="0" borderId="4" xfId="5" applyFont="1" applyAlignment="1">
      <alignment vertical="center"/>
    </xf>
    <xf numFmtId="0" fontId="38" fillId="15" borderId="35" xfId="5" applyFont="1" applyFill="1" applyBorder="1" applyAlignment="1">
      <alignment horizontal="left" vertical="center"/>
    </xf>
    <xf numFmtId="0" fontId="38" fillId="0" borderId="8" xfId="5" applyFont="1" applyBorder="1" applyAlignment="1">
      <alignment horizontal="left" vertical="center" wrapText="1"/>
    </xf>
    <xf numFmtId="0" fontId="38" fillId="0" borderId="35" xfId="5" applyFont="1" applyBorder="1" applyAlignment="1">
      <alignment horizontal="left" vertical="center"/>
    </xf>
    <xf numFmtId="0" fontId="38" fillId="0" borderId="8" xfId="5" applyFont="1" applyBorder="1" applyAlignment="1">
      <alignment horizontal="left" vertical="center"/>
    </xf>
    <xf numFmtId="0" fontId="38" fillId="0" borderId="8" xfId="5" applyFont="1" applyBorder="1" applyAlignment="1">
      <alignment vertical="center"/>
    </xf>
    <xf numFmtId="10" fontId="38" fillId="0" borderId="59" xfId="8" applyNumberFormat="1" applyFont="1" applyFill="1" applyBorder="1" applyAlignment="1">
      <alignment vertical="center"/>
    </xf>
    <xf numFmtId="0" fontId="38" fillId="0" borderId="4" xfId="5" applyFont="1" applyAlignment="1">
      <alignment vertical="center" wrapText="1"/>
    </xf>
    <xf numFmtId="0" fontId="38" fillId="0" borderId="4" xfId="5" applyFont="1" applyAlignment="1">
      <alignment vertical="center"/>
    </xf>
    <xf numFmtId="43" fontId="38" fillId="0" borderId="4" xfId="6" applyFont="1" applyFill="1" applyBorder="1" applyAlignment="1">
      <alignment vertical="center"/>
    </xf>
    <xf numFmtId="164" fontId="38" fillId="0" borderId="4" xfId="7" applyFont="1" applyFill="1" applyAlignment="1">
      <alignment vertical="center"/>
    </xf>
    <xf numFmtId="10" fontId="38" fillId="0" borderId="4" xfId="8" applyNumberFormat="1" applyFont="1" applyFill="1" applyAlignment="1">
      <alignment vertical="center"/>
    </xf>
    <xf numFmtId="0" fontId="39" fillId="0" borderId="19" xfId="5" applyFont="1" applyBorder="1" applyAlignment="1">
      <alignment vertical="center"/>
    </xf>
    <xf numFmtId="0" fontId="38" fillId="0" borderId="8" xfId="5" applyFont="1" applyBorder="1" applyAlignment="1">
      <alignment horizontal="right" vertical="center"/>
    </xf>
    <xf numFmtId="0" fontId="38" fillId="0" borderId="59" xfId="5" applyFont="1" applyBorder="1" applyAlignment="1">
      <alignment horizontal="left" vertical="center"/>
    </xf>
    <xf numFmtId="14" fontId="38" fillId="0" borderId="35" xfId="5" applyNumberFormat="1" applyFont="1" applyBorder="1" applyAlignment="1">
      <alignment horizontal="left" vertical="center"/>
    </xf>
    <xf numFmtId="0" fontId="39" fillId="0" borderId="4" xfId="5" applyFont="1" applyAlignment="1">
      <alignment horizontal="right" vertical="center"/>
    </xf>
    <xf numFmtId="0" fontId="39" fillId="0" borderId="4" xfId="5" applyFont="1" applyAlignment="1">
      <alignment horizontal="left" vertical="center"/>
    </xf>
    <xf numFmtId="43" fontId="39" fillId="0" borderId="18" xfId="6" applyFont="1" applyFill="1" applyBorder="1" applyAlignment="1">
      <alignment horizontal="left" vertical="center"/>
    </xf>
    <xf numFmtId="0" fontId="39" fillId="0" borderId="18" xfId="5" applyFont="1" applyBorder="1" applyAlignment="1">
      <alignment horizontal="left" vertical="center"/>
    </xf>
    <xf numFmtId="0" fontId="39" fillId="0" borderId="19" xfId="5" applyFont="1" applyBorder="1" applyAlignment="1">
      <alignment horizontal="left" vertical="center"/>
    </xf>
    <xf numFmtId="10" fontId="39" fillId="0" borderId="19" xfId="8" applyNumberFormat="1" applyFont="1" applyFill="1" applyBorder="1" applyAlignment="1">
      <alignment vertical="center"/>
    </xf>
    <xf numFmtId="0" fontId="38" fillId="15" borderId="35" xfId="5" applyFont="1" applyFill="1" applyBorder="1" applyAlignment="1">
      <alignment vertical="center"/>
    </xf>
    <xf numFmtId="0" fontId="38" fillId="0" borderId="8" xfId="5" applyFont="1" applyBorder="1" applyAlignment="1">
      <alignment vertical="center" wrapText="1"/>
    </xf>
    <xf numFmtId="0" fontId="38" fillId="0" borderId="8" xfId="5" applyFont="1" applyBorder="1" applyAlignment="1">
      <alignment horizontal="center" vertical="center"/>
    </xf>
    <xf numFmtId="43" fontId="38" fillId="0" borderId="35" xfId="6" applyFont="1" applyFill="1" applyBorder="1" applyAlignment="1">
      <alignment horizontal="left" vertical="center"/>
    </xf>
    <xf numFmtId="164" fontId="39" fillId="0" borderId="19" xfId="7" applyFont="1" applyFill="1" applyBorder="1" applyAlignment="1">
      <alignment vertical="center"/>
    </xf>
    <xf numFmtId="164" fontId="38" fillId="15" borderId="35" xfId="5" applyNumberFormat="1" applyFont="1" applyFill="1" applyBorder="1" applyAlignment="1">
      <alignment horizontal="left" vertical="center"/>
    </xf>
    <xf numFmtId="164" fontId="38" fillId="0" borderId="8" xfId="5" applyNumberFormat="1" applyFont="1" applyBorder="1" applyAlignment="1">
      <alignment vertical="center" wrapText="1"/>
    </xf>
    <xf numFmtId="164" fontId="38" fillId="0" borderId="59" xfId="5" applyNumberFormat="1" applyFont="1" applyBorder="1" applyAlignment="1">
      <alignment vertical="center" wrapText="1"/>
    </xf>
    <xf numFmtId="0" fontId="36" fillId="14" borderId="62" xfId="5" applyFont="1" applyFill="1" applyBorder="1" applyAlignment="1">
      <alignment horizontal="center" vertical="center" wrapText="1"/>
    </xf>
    <xf numFmtId="0" fontId="34" fillId="0" borderId="62" xfId="5" applyFont="1" applyBorder="1" applyAlignment="1">
      <alignment vertical="center"/>
    </xf>
    <xf numFmtId="0" fontId="8" fillId="4" borderId="5" xfId="5" applyFont="1" applyFill="1" applyBorder="1" applyAlignment="1">
      <alignment horizontal="left" vertical="center" wrapText="1"/>
    </xf>
    <xf numFmtId="0" fontId="8" fillId="4" borderId="5" xfId="5" applyFont="1" applyFill="1" applyBorder="1" applyAlignment="1">
      <alignment horizontal="center" vertical="center" wrapText="1"/>
    </xf>
    <xf numFmtId="0" fontId="8" fillId="4" borderId="5" xfId="5" applyFont="1" applyFill="1" applyBorder="1" applyAlignment="1">
      <alignment horizontal="right" vertical="center" wrapText="1"/>
    </xf>
    <xf numFmtId="4" fontId="8" fillId="4" borderId="5" xfId="5" applyNumberFormat="1" applyFont="1" applyFill="1" applyBorder="1" applyAlignment="1">
      <alignment horizontal="right" vertical="center" wrapText="1"/>
    </xf>
    <xf numFmtId="0" fontId="7" fillId="3" borderId="5" xfId="5" applyFont="1" applyFill="1" applyBorder="1" applyAlignment="1">
      <alignment horizontal="left" vertical="center" wrapText="1"/>
    </xf>
    <xf numFmtId="10" fontId="39" fillId="16" borderId="68" xfId="8" applyNumberFormat="1" applyFont="1" applyFill="1" applyBorder="1" applyAlignment="1">
      <alignment horizontal="right" vertical="center" wrapText="1"/>
    </xf>
    <xf numFmtId="43" fontId="34" fillId="0" borderId="4" xfId="5" applyNumberFormat="1" applyFont="1" applyAlignment="1">
      <alignment vertical="center"/>
    </xf>
    <xf numFmtId="43" fontId="34" fillId="15" borderId="4" xfId="5" applyNumberFormat="1" applyFont="1" applyFill="1" applyAlignment="1">
      <alignment vertical="center"/>
    </xf>
    <xf numFmtId="0" fontId="7" fillId="22" borderId="5" xfId="5" applyFont="1" applyFill="1" applyBorder="1" applyAlignment="1">
      <alignment horizontal="left" vertical="center" wrapText="1"/>
    </xf>
    <xf numFmtId="0" fontId="8" fillId="23" borderId="5" xfId="5" applyFont="1" applyFill="1" applyBorder="1" applyAlignment="1">
      <alignment horizontal="center" vertical="center" wrapText="1"/>
    </xf>
    <xf numFmtId="0" fontId="7" fillId="25" borderId="5" xfId="5" applyFont="1" applyFill="1" applyBorder="1" applyAlignment="1">
      <alignment horizontal="left" vertical="center" wrapText="1"/>
    </xf>
    <xf numFmtId="0" fontId="8" fillId="27" borderId="5" xfId="5" applyFont="1" applyFill="1" applyBorder="1" applyAlignment="1">
      <alignment horizontal="center" vertical="center" wrapText="1"/>
    </xf>
    <xf numFmtId="0" fontId="34" fillId="36" borderId="4" xfId="5" applyFont="1" applyFill="1" applyAlignment="1">
      <alignment vertical="center"/>
    </xf>
    <xf numFmtId="0" fontId="34" fillId="15" borderId="4" xfId="5" applyFont="1" applyFill="1" applyAlignment="1">
      <alignment horizontal="center" vertical="center" wrapText="1"/>
    </xf>
    <xf numFmtId="0" fontId="34" fillId="15" borderId="4" xfId="5" applyFont="1" applyFill="1" applyAlignment="1">
      <alignment vertical="center" wrapText="1"/>
    </xf>
    <xf numFmtId="4" fontId="8" fillId="4" borderId="5" xfId="0" applyNumberFormat="1" applyFont="1" applyFill="1" applyBorder="1" applyAlignment="1">
      <alignment vertical="center" wrapText="1"/>
    </xf>
    <xf numFmtId="4" fontId="8" fillId="4" borderId="97" xfId="0" applyNumberFormat="1" applyFont="1" applyFill="1" applyBorder="1" applyAlignment="1">
      <alignment vertical="center" wrapText="1"/>
    </xf>
    <xf numFmtId="4" fontId="8" fillId="4" borderId="98" xfId="0" applyNumberFormat="1" applyFont="1" applyFill="1" applyBorder="1" applyAlignment="1">
      <alignment vertical="center" wrapText="1"/>
    </xf>
    <xf numFmtId="4" fontId="8" fillId="4" borderId="99" xfId="0" applyNumberFormat="1" applyFont="1" applyFill="1" applyBorder="1" applyAlignment="1">
      <alignment vertical="center" wrapText="1"/>
    </xf>
    <xf numFmtId="4" fontId="39" fillId="16" borderId="100" xfId="0" applyNumberFormat="1" applyFont="1" applyFill="1" applyBorder="1" applyAlignment="1">
      <alignment vertical="center" wrapText="1"/>
    </xf>
    <xf numFmtId="4" fontId="39" fillId="16" borderId="64" xfId="0" applyNumberFormat="1" applyFont="1" applyFill="1" applyBorder="1" applyAlignment="1">
      <alignment vertical="center" wrapText="1"/>
    </xf>
    <xf numFmtId="4" fontId="39" fillId="17" borderId="65" xfId="0" applyNumberFormat="1" applyFont="1" applyFill="1" applyBorder="1" applyAlignment="1">
      <alignment vertical="center" wrapText="1"/>
    </xf>
    <xf numFmtId="4" fontId="38" fillId="14" borderId="66" xfId="0" applyNumberFormat="1" applyFont="1" applyFill="1" applyBorder="1" applyAlignment="1">
      <alignment vertical="center" wrapText="1"/>
    </xf>
    <xf numFmtId="4" fontId="39" fillId="16" borderId="70" xfId="0" applyNumberFormat="1" applyFont="1" applyFill="1" applyBorder="1" applyAlignment="1">
      <alignment vertical="center" wrapText="1"/>
    </xf>
    <xf numFmtId="4" fontId="39" fillId="16" borderId="66" xfId="0" applyNumberFormat="1" applyFont="1" applyFill="1" applyBorder="1" applyAlignment="1">
      <alignment vertical="center" wrapText="1"/>
    </xf>
    <xf numFmtId="4" fontId="39" fillId="16" borderId="65" xfId="0" applyNumberFormat="1" applyFont="1" applyFill="1" applyBorder="1" applyAlignment="1">
      <alignment vertical="center" wrapText="1"/>
    </xf>
    <xf numFmtId="4" fontId="39" fillId="20" borderId="66" xfId="0" applyNumberFormat="1" applyFont="1" applyFill="1" applyBorder="1" applyAlignment="1">
      <alignment vertical="center" wrapText="1"/>
    </xf>
    <xf numFmtId="4" fontId="8" fillId="23" borderId="5" xfId="0" applyNumberFormat="1" applyFont="1" applyFill="1" applyBorder="1" applyAlignment="1">
      <alignment vertical="center" wrapText="1"/>
    </xf>
    <xf numFmtId="4" fontId="39" fillId="20" borderId="101" xfId="0" applyNumberFormat="1" applyFont="1" applyFill="1" applyBorder="1" applyAlignment="1">
      <alignment vertical="center" wrapText="1"/>
    </xf>
    <xf numFmtId="4" fontId="39" fillId="20" borderId="102" xfId="0" applyNumberFormat="1" applyFont="1" applyFill="1" applyBorder="1" applyAlignment="1">
      <alignment vertical="center" wrapText="1"/>
    </xf>
    <xf numFmtId="4" fontId="38" fillId="20" borderId="66" xfId="0" applyNumberFormat="1" applyFont="1" applyFill="1" applyBorder="1" applyAlignment="1">
      <alignment vertical="center" wrapText="1"/>
    </xf>
    <xf numFmtId="4" fontId="39" fillId="24" borderId="66" xfId="0" applyNumberFormat="1" applyFont="1" applyFill="1" applyBorder="1" applyAlignment="1">
      <alignment vertical="center" wrapText="1"/>
    </xf>
    <xf numFmtId="4" fontId="39" fillId="24" borderId="100" xfId="0" applyNumberFormat="1" applyFont="1" applyFill="1" applyBorder="1" applyAlignment="1">
      <alignment vertical="center" wrapText="1"/>
    </xf>
    <xf numFmtId="4" fontId="39" fillId="20" borderId="65" xfId="0" applyNumberFormat="1" applyFont="1" applyFill="1" applyBorder="1" applyAlignment="1">
      <alignment vertical="center" wrapText="1"/>
    </xf>
    <xf numFmtId="4" fontId="39" fillId="16" borderId="103" xfId="0" applyNumberFormat="1" applyFont="1" applyFill="1" applyBorder="1" applyAlignment="1">
      <alignment vertical="center" wrapText="1"/>
    </xf>
    <xf numFmtId="4" fontId="39" fillId="16" borderId="104" xfId="0" applyNumberFormat="1" applyFont="1" applyFill="1" applyBorder="1" applyAlignment="1">
      <alignment vertical="center" wrapText="1"/>
    </xf>
    <xf numFmtId="4" fontId="38" fillId="24" borderId="66" xfId="0" applyNumberFormat="1" applyFont="1" applyFill="1" applyBorder="1" applyAlignment="1">
      <alignment vertical="center" wrapText="1"/>
    </xf>
    <xf numFmtId="4" fontId="39" fillId="24" borderId="102" xfId="0" applyNumberFormat="1" applyFont="1" applyFill="1" applyBorder="1" applyAlignment="1">
      <alignment vertical="center" wrapText="1"/>
    </xf>
    <xf numFmtId="4" fontId="38" fillId="20" borderId="70" xfId="0" applyNumberFormat="1" applyFont="1" applyFill="1" applyBorder="1" applyAlignment="1">
      <alignment vertical="center" wrapText="1"/>
    </xf>
    <xf numFmtId="4" fontId="39" fillId="20" borderId="105" xfId="0" applyNumberFormat="1" applyFont="1" applyFill="1" applyBorder="1" applyAlignment="1">
      <alignment vertical="center" wrapText="1"/>
    </xf>
    <xf numFmtId="4" fontId="38" fillId="24" borderId="103" xfId="0" applyNumberFormat="1" applyFont="1" applyFill="1" applyBorder="1" applyAlignment="1">
      <alignment vertical="center" wrapText="1"/>
    </xf>
    <xf numFmtId="4" fontId="39" fillId="24" borderId="104" xfId="0" applyNumberFormat="1" applyFont="1" applyFill="1" applyBorder="1" applyAlignment="1">
      <alignment vertical="center" wrapText="1"/>
    </xf>
    <xf numFmtId="4" fontId="8" fillId="27" borderId="5" xfId="0" applyNumberFormat="1" applyFont="1" applyFill="1" applyBorder="1" applyAlignment="1">
      <alignment vertical="center" wrapText="1"/>
    </xf>
    <xf numFmtId="4" fontId="39" fillId="24" borderId="106" xfId="0" applyNumberFormat="1" applyFont="1" applyFill="1" applyBorder="1" applyAlignment="1">
      <alignment vertical="center" wrapText="1"/>
    </xf>
    <xf numFmtId="4" fontId="39" fillId="24" borderId="107" xfId="0" applyNumberFormat="1" applyFont="1" applyFill="1" applyBorder="1" applyAlignment="1">
      <alignment vertical="center" wrapText="1"/>
    </xf>
    <xf numFmtId="4" fontId="38" fillId="14" borderId="103" xfId="0" applyNumberFormat="1" applyFont="1" applyFill="1" applyBorder="1" applyAlignment="1">
      <alignment vertical="center" wrapText="1"/>
    </xf>
    <xf numFmtId="0" fontId="34" fillId="13" borderId="4" xfId="5" applyFont="1" applyFill="1" applyAlignment="1">
      <alignment vertical="center"/>
    </xf>
    <xf numFmtId="2" fontId="36" fillId="0" borderId="4" xfId="5" applyNumberFormat="1" applyFont="1" applyAlignment="1">
      <alignment vertical="center"/>
    </xf>
    <xf numFmtId="4" fontId="34" fillId="0" borderId="4" xfId="5" applyNumberFormat="1" applyFont="1" applyAlignment="1">
      <alignment vertical="center"/>
    </xf>
    <xf numFmtId="0" fontId="39" fillId="15" borderId="113" xfId="5" applyFont="1" applyFill="1" applyBorder="1" applyAlignment="1">
      <alignment vertical="center"/>
    </xf>
    <xf numFmtId="171" fontId="34" fillId="0" borderId="4" xfId="5" applyNumberFormat="1" applyFont="1" applyAlignment="1">
      <alignment horizontal="center" vertical="center"/>
    </xf>
    <xf numFmtId="172" fontId="18" fillId="12" borderId="22" xfId="3" applyNumberFormat="1" applyFont="1" applyFill="1" applyBorder="1" applyAlignment="1">
      <alignment horizontal="center" vertical="center"/>
    </xf>
    <xf numFmtId="43" fontId="54" fillId="0" borderId="4" xfId="5" applyNumberFormat="1" applyFont="1" applyAlignment="1">
      <alignment horizontal="center" vertical="center"/>
    </xf>
    <xf numFmtId="173" fontId="18" fillId="12" borderId="22" xfId="3" applyNumberFormat="1" applyFont="1" applyFill="1" applyBorder="1" applyAlignment="1">
      <alignment horizontal="center" vertical="center"/>
    </xf>
    <xf numFmtId="0" fontId="10" fillId="0" borderId="4" xfId="9"/>
    <xf numFmtId="168" fontId="10" fillId="0" borderId="4" xfId="9" applyNumberFormat="1"/>
    <xf numFmtId="0" fontId="20" fillId="37" borderId="4" xfId="3" applyFont="1" applyFill="1" applyAlignment="1">
      <alignment horizontal="center" vertical="center"/>
    </xf>
    <xf numFmtId="0" fontId="20" fillId="37" borderId="4" xfId="3" applyFont="1" applyFill="1" applyAlignment="1">
      <alignment vertical="center"/>
    </xf>
    <xf numFmtId="0" fontId="33" fillId="0" borderId="4" xfId="11" applyFont="1"/>
    <xf numFmtId="0" fontId="34" fillId="0" borderId="4" xfId="11" applyFont="1"/>
    <xf numFmtId="0" fontId="34" fillId="0" borderId="52" xfId="11" applyFont="1" applyBorder="1"/>
    <xf numFmtId="3" fontId="34" fillId="0" borderId="52" xfId="11" applyNumberFormat="1" applyFont="1" applyBorder="1" applyAlignment="1">
      <alignment vertical="center"/>
    </xf>
    <xf numFmtId="0" fontId="34" fillId="0" borderId="52" xfId="11" applyFont="1" applyBorder="1" applyAlignment="1">
      <alignment horizontal="center" vertical="center" wrapText="1"/>
    </xf>
    <xf numFmtId="0" fontId="34" fillId="0" borderId="52" xfId="11" applyFont="1" applyBorder="1" applyAlignment="1">
      <alignment vertical="center"/>
    </xf>
    <xf numFmtId="0" fontId="35" fillId="0" borderId="4" xfId="11" applyFont="1"/>
    <xf numFmtId="0" fontId="38" fillId="0" borderId="82" xfId="10" applyFont="1" applyBorder="1" applyAlignment="1">
      <alignment vertical="center" wrapText="1"/>
    </xf>
    <xf numFmtId="0" fontId="38" fillId="0" borderId="84" xfId="10" applyFont="1" applyBorder="1"/>
    <xf numFmtId="0" fontId="38" fillId="0" borderId="87" xfId="10" applyFont="1" applyBorder="1"/>
    <xf numFmtId="167" fontId="20" fillId="0" borderId="9" xfId="3" applyNumberFormat="1" applyFont="1" applyBorder="1" applyAlignment="1">
      <alignment vertical="center"/>
    </xf>
    <xf numFmtId="167" fontId="20" fillId="0" borderId="4" xfId="3" applyNumberFormat="1" applyFont="1" applyAlignment="1">
      <alignment vertical="center"/>
    </xf>
    <xf numFmtId="167" fontId="0" fillId="0" borderId="0" xfId="0" applyNumberFormat="1"/>
    <xf numFmtId="2" fontId="20" fillId="0" borderId="9" xfId="3" applyNumberFormat="1" applyFont="1" applyBorder="1" applyAlignment="1">
      <alignment vertical="center"/>
    </xf>
    <xf numFmtId="2" fontId="17" fillId="0" borderId="9" xfId="3" applyNumberFormat="1" applyFont="1" applyBorder="1" applyAlignment="1">
      <alignment vertical="center"/>
    </xf>
    <xf numFmtId="2" fontId="20" fillId="0" borderId="4" xfId="3" applyNumberFormat="1" applyFont="1" applyAlignment="1">
      <alignment vertical="center"/>
    </xf>
    <xf numFmtId="2" fontId="17" fillId="0" borderId="4" xfId="3" applyNumberFormat="1" applyFont="1" applyAlignment="1">
      <alignment vertical="center"/>
    </xf>
    <xf numFmtId="4" fontId="17" fillId="0" borderId="4" xfId="3" applyNumberFormat="1" applyFont="1" applyAlignment="1">
      <alignment vertical="center"/>
    </xf>
    <xf numFmtId="167" fontId="18" fillId="12" borderId="22" xfId="3" applyNumberFormat="1" applyFont="1" applyFill="1" applyBorder="1" applyAlignment="1">
      <alignment horizontal="center" vertical="center"/>
    </xf>
    <xf numFmtId="0" fontId="38" fillId="0" borderId="79" xfId="5" applyFont="1" applyBorder="1" applyAlignment="1">
      <alignment vertical="top"/>
    </xf>
    <xf numFmtId="0" fontId="32" fillId="0" borderId="4" xfId="11" applyFont="1" applyAlignment="1">
      <alignment horizontal="center"/>
    </xf>
    <xf numFmtId="0" fontId="4" fillId="2" borderId="2" xfId="0" applyFont="1" applyFill="1" applyBorder="1" applyAlignment="1">
      <alignment horizontal="left" vertical="top" wrapText="1"/>
    </xf>
    <xf numFmtId="0" fontId="5" fillId="0" borderId="3" xfId="0" applyFont="1" applyBorder="1"/>
    <xf numFmtId="0" fontId="6" fillId="2" borderId="2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5" fillId="0" borderId="19" xfId="0" applyFont="1" applyBorder="1"/>
    <xf numFmtId="0" fontId="4" fillId="2" borderId="2" xfId="0" applyFont="1" applyFill="1" applyBorder="1" applyAlignment="1">
      <alignment horizontal="center" wrapText="1"/>
    </xf>
    <xf numFmtId="0" fontId="5" fillId="0" borderId="4" xfId="0" applyFont="1" applyBorder="1"/>
    <xf numFmtId="4" fontId="6" fillId="2" borderId="2" xfId="0" applyNumberFormat="1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right" vertical="top" wrapText="1"/>
    </xf>
    <xf numFmtId="0" fontId="9" fillId="2" borderId="2" xfId="0" applyFont="1" applyFill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34" fillId="15" borderId="4" xfId="5" applyFont="1" applyFill="1" applyAlignment="1">
      <alignment horizontal="center" vertical="center" wrapText="1"/>
    </xf>
    <xf numFmtId="0" fontId="38" fillId="0" borderId="83" xfId="5" applyFont="1" applyBorder="1" applyAlignment="1">
      <alignment horizontal="center" vertical="center"/>
    </xf>
    <xf numFmtId="0" fontId="38" fillId="0" borderId="19" xfId="5" applyFont="1" applyBorder="1" applyAlignment="1">
      <alignment horizontal="center" vertical="center"/>
    </xf>
    <xf numFmtId="0" fontId="47" fillId="0" borderId="18" xfId="5" applyFont="1" applyBorder="1" applyAlignment="1">
      <alignment horizontal="center" vertical="center" wrapText="1"/>
    </xf>
    <xf numFmtId="0" fontId="47" fillId="0" borderId="4" xfId="5" applyFont="1" applyAlignment="1">
      <alignment horizontal="center" vertical="center" wrapText="1"/>
    </xf>
    <xf numFmtId="0" fontId="47" fillId="0" borderId="19" xfId="5" applyFont="1" applyBorder="1" applyAlignment="1">
      <alignment horizontal="center" vertical="center" wrapText="1"/>
    </xf>
    <xf numFmtId="0" fontId="47" fillId="0" borderId="18" xfId="5" applyFont="1" applyBorder="1" applyAlignment="1">
      <alignment horizontal="center" vertical="center"/>
    </xf>
    <xf numFmtId="0" fontId="47" fillId="0" borderId="4" xfId="5" applyFont="1" applyAlignment="1">
      <alignment horizontal="center" vertical="center"/>
    </xf>
    <xf numFmtId="0" fontId="47" fillId="0" borderId="84" xfId="5" applyFont="1" applyBorder="1" applyAlignment="1">
      <alignment horizontal="center" vertical="center"/>
    </xf>
    <xf numFmtId="0" fontId="36" fillId="30" borderId="32" xfId="5" applyFont="1" applyFill="1" applyBorder="1" applyAlignment="1">
      <alignment horizontal="left" vertical="center" wrapText="1"/>
    </xf>
    <xf numFmtId="0" fontId="36" fillId="30" borderId="36" xfId="5" applyFont="1" applyFill="1" applyBorder="1" applyAlignment="1">
      <alignment horizontal="left" vertical="center" wrapText="1"/>
    </xf>
    <xf numFmtId="0" fontId="36" fillId="30" borderId="33" xfId="5" applyFont="1" applyFill="1" applyBorder="1" applyAlignment="1">
      <alignment horizontal="left" vertical="center" wrapText="1"/>
    </xf>
    <xf numFmtId="0" fontId="45" fillId="28" borderId="72" xfId="5" applyFont="1" applyFill="1" applyBorder="1" applyAlignment="1">
      <alignment horizontal="left" vertical="center" wrapText="1"/>
    </xf>
    <xf numFmtId="0" fontId="45" fillId="28" borderId="73" xfId="5" applyFont="1" applyFill="1" applyBorder="1" applyAlignment="1">
      <alignment horizontal="left" vertical="center" wrapText="1"/>
    </xf>
    <xf numFmtId="0" fontId="45" fillId="28" borderId="74" xfId="5" applyFont="1" applyFill="1" applyBorder="1" applyAlignment="1">
      <alignment horizontal="left" vertical="center" wrapText="1"/>
    </xf>
    <xf numFmtId="0" fontId="34" fillId="29" borderId="73" xfId="5" applyFont="1" applyFill="1" applyBorder="1" applyAlignment="1">
      <alignment horizontal="center" vertical="center"/>
    </xf>
    <xf numFmtId="0" fontId="46" fillId="0" borderId="4" xfId="5" applyFont="1" applyAlignment="1">
      <alignment horizontal="left" vertical="center"/>
    </xf>
    <xf numFmtId="0" fontId="38" fillId="0" borderId="108" xfId="5" applyFont="1" applyBorder="1" applyAlignment="1">
      <alignment horizontal="center" vertical="top" wrapText="1"/>
    </xf>
    <xf numFmtId="0" fontId="38" fillId="0" borderId="109" xfId="5" applyFont="1" applyBorder="1" applyAlignment="1">
      <alignment horizontal="center" vertical="top" wrapText="1"/>
    </xf>
    <xf numFmtId="0" fontId="47" fillId="0" borderId="110" xfId="5" applyFont="1" applyBorder="1" applyAlignment="1">
      <alignment horizontal="center" vertical="top"/>
    </xf>
    <xf numFmtId="0" fontId="47" fillId="0" borderId="111" xfId="5" applyFont="1" applyBorder="1" applyAlignment="1">
      <alignment horizontal="center" vertical="top"/>
    </xf>
    <xf numFmtId="0" fontId="47" fillId="0" borderId="109" xfId="5" applyFont="1" applyBorder="1" applyAlignment="1">
      <alignment horizontal="center" vertical="top"/>
    </xf>
    <xf numFmtId="0" fontId="47" fillId="0" borderId="112" xfId="5" applyFont="1" applyBorder="1" applyAlignment="1">
      <alignment horizontal="center" vertical="top"/>
    </xf>
    <xf numFmtId="0" fontId="38" fillId="16" borderId="60" xfId="5" applyFont="1" applyFill="1" applyBorder="1" applyAlignment="1">
      <alignment horizontal="center" vertical="center" wrapText="1"/>
    </xf>
    <xf numFmtId="0" fontId="38" fillId="16" borderId="61" xfId="5" applyFont="1" applyFill="1" applyBorder="1" applyAlignment="1">
      <alignment horizontal="center" vertical="center" wrapText="1"/>
    </xf>
    <xf numFmtId="0" fontId="39" fillId="16" borderId="9" xfId="5" applyFont="1" applyFill="1" applyBorder="1" applyAlignment="1">
      <alignment horizontal="center" vertical="center" wrapText="1"/>
    </xf>
    <xf numFmtId="0" fontId="39" fillId="0" borderId="4" xfId="5" applyFont="1" applyAlignment="1">
      <alignment horizontal="left" vertical="center" wrapText="1"/>
    </xf>
    <xf numFmtId="0" fontId="39" fillId="0" borderId="19" xfId="5" applyFont="1" applyBorder="1" applyAlignment="1">
      <alignment horizontal="left" vertical="center" wrapText="1"/>
    </xf>
    <xf numFmtId="7" fontId="41" fillId="0" borderId="35" xfId="5" applyNumberFormat="1" applyFont="1" applyBorder="1" applyAlignment="1">
      <alignment horizontal="center" vertical="center" wrapText="1"/>
    </xf>
    <xf numFmtId="7" fontId="41" fillId="0" borderId="59" xfId="5" applyNumberFormat="1" applyFont="1" applyBorder="1" applyAlignment="1">
      <alignment horizontal="center" vertical="center" wrapText="1"/>
    </xf>
    <xf numFmtId="7" fontId="42" fillId="0" borderId="35" xfId="5" applyNumberFormat="1" applyFont="1" applyBorder="1" applyAlignment="1">
      <alignment horizontal="center" vertical="center" wrapText="1"/>
    </xf>
    <xf numFmtId="7" fontId="42" fillId="0" borderId="59" xfId="5" applyNumberFormat="1" applyFont="1" applyBorder="1" applyAlignment="1">
      <alignment horizontal="center" vertical="center" wrapText="1"/>
    </xf>
    <xf numFmtId="0" fontId="45" fillId="28" borderId="72" xfId="5" applyFont="1" applyFill="1" applyBorder="1" applyAlignment="1">
      <alignment horizontal="center" vertical="center" wrapText="1"/>
    </xf>
    <xf numFmtId="0" fontId="45" fillId="28" borderId="73" xfId="5" applyFont="1" applyFill="1" applyBorder="1" applyAlignment="1">
      <alignment horizontal="center" vertical="center" wrapText="1"/>
    </xf>
    <xf numFmtId="0" fontId="45" fillId="28" borderId="74" xfId="5" applyFont="1" applyFill="1" applyBorder="1" applyAlignment="1">
      <alignment horizontal="center" vertical="center" wrapText="1"/>
    </xf>
    <xf numFmtId="0" fontId="37" fillId="15" borderId="8" xfId="5" applyFont="1" applyFill="1" applyBorder="1" applyAlignment="1">
      <alignment horizontal="center" vertical="center"/>
    </xf>
    <xf numFmtId="0" fontId="39" fillId="0" borderId="18" xfId="5" applyFont="1" applyBorder="1" applyAlignment="1">
      <alignment horizontal="left" vertical="center"/>
    </xf>
    <xf numFmtId="0" fontId="39" fillId="0" borderId="19" xfId="5" applyFont="1" applyBorder="1" applyAlignment="1">
      <alignment horizontal="left" vertical="center"/>
    </xf>
    <xf numFmtId="0" fontId="38" fillId="0" borderId="35" xfId="5" applyFont="1" applyBorder="1" applyAlignment="1">
      <alignment horizontal="center" vertical="center"/>
    </xf>
    <xf numFmtId="0" fontId="38" fillId="0" borderId="59" xfId="5" applyFont="1" applyBorder="1" applyAlignment="1">
      <alignment horizontal="center" vertical="center"/>
    </xf>
    <xf numFmtId="0" fontId="38" fillId="0" borderId="35" xfId="5" quotePrefix="1" applyFont="1" applyBorder="1" applyAlignment="1">
      <alignment horizontal="center" vertical="center"/>
    </xf>
    <xf numFmtId="0" fontId="38" fillId="0" borderId="59" xfId="5" quotePrefix="1" applyFont="1" applyBorder="1" applyAlignment="1">
      <alignment horizontal="center" vertical="center"/>
    </xf>
    <xf numFmtId="0" fontId="40" fillId="0" borderId="35" xfId="5" quotePrefix="1" applyFont="1" applyBorder="1" applyAlignment="1">
      <alignment horizontal="center" vertical="center"/>
    </xf>
    <xf numFmtId="0" fontId="40" fillId="0" borderId="59" xfId="5" quotePrefix="1" applyFont="1" applyBorder="1" applyAlignment="1">
      <alignment horizontal="center" vertical="center"/>
    </xf>
    <xf numFmtId="14" fontId="38" fillId="0" borderId="35" xfId="7" applyNumberFormat="1" applyFont="1" applyFill="1" applyBorder="1" applyAlignment="1">
      <alignment horizontal="center" vertical="center"/>
    </xf>
    <xf numFmtId="14" fontId="38" fillId="0" borderId="59" xfId="7" applyNumberFormat="1" applyFont="1" applyFill="1" applyBorder="1" applyAlignment="1">
      <alignment horizontal="center" vertical="center"/>
    </xf>
    <xf numFmtId="0" fontId="51" fillId="34" borderId="4" xfId="0" applyFont="1" applyFill="1" applyBorder="1" applyAlignment="1">
      <alignment horizontal="center" vertical="center"/>
    </xf>
    <xf numFmtId="4" fontId="6" fillId="0" borderId="9" xfId="3" applyNumberFormat="1" applyFont="1" applyBorder="1" applyAlignment="1">
      <alignment horizontal="center" vertical="top"/>
    </xf>
    <xf numFmtId="4" fontId="6" fillId="13" borderId="9" xfId="3" applyNumberFormat="1" applyFont="1" applyFill="1" applyBorder="1" applyAlignment="1">
      <alignment horizontal="center" vertical="top"/>
    </xf>
    <xf numFmtId="0" fontId="20" fillId="34" borderId="4" xfId="3" applyFont="1" applyFill="1" applyAlignment="1">
      <alignment horizontal="center" vertical="center"/>
    </xf>
    <xf numFmtId="0" fontId="53" fillId="0" borderId="90" xfId="3" applyFont="1" applyBorder="1" applyAlignment="1">
      <alignment horizontal="center" vertical="center"/>
    </xf>
    <xf numFmtId="0" fontId="53" fillId="0" borderId="93" xfId="3" applyFont="1" applyBorder="1" applyAlignment="1">
      <alignment horizontal="center" vertical="center"/>
    </xf>
    <xf numFmtId="0" fontId="53" fillId="0" borderId="94" xfId="3" applyFont="1" applyBorder="1" applyAlignment="1">
      <alignment horizontal="center" vertical="center"/>
    </xf>
    <xf numFmtId="4" fontId="16" fillId="12" borderId="8" xfId="3" applyNumberFormat="1" applyFont="1" applyFill="1" applyBorder="1" applyAlignment="1">
      <alignment horizontal="right" vertical="center"/>
    </xf>
    <xf numFmtId="4" fontId="6" fillId="0" borderId="32" xfId="3" applyNumberFormat="1" applyFont="1" applyBorder="1" applyAlignment="1">
      <alignment horizontal="right" vertical="top"/>
    </xf>
    <xf numFmtId="4" fontId="6" fillId="0" borderId="33" xfId="3" applyNumberFormat="1" applyFont="1" applyBorder="1" applyAlignment="1">
      <alignment horizontal="right" vertical="top"/>
    </xf>
    <xf numFmtId="0" fontId="27" fillId="0" borderId="42" xfId="3" applyFont="1" applyBorder="1" applyAlignment="1">
      <alignment horizontal="center" vertical="center"/>
    </xf>
    <xf numFmtId="0" fontId="27" fillId="0" borderId="34" xfId="3" applyFont="1" applyBorder="1" applyAlignment="1">
      <alignment horizontal="center" vertical="center"/>
    </xf>
    <xf numFmtId="0" fontId="27" fillId="0" borderId="46" xfId="3" applyFont="1" applyBorder="1" applyAlignment="1">
      <alignment horizontal="center" vertical="center"/>
    </xf>
    <xf numFmtId="0" fontId="11" fillId="2" borderId="29" xfId="3" applyFont="1" applyFill="1" applyBorder="1" applyAlignment="1">
      <alignment horizontal="center"/>
    </xf>
    <xf numFmtId="0" fontId="17" fillId="0" borderId="30" xfId="3" applyFont="1" applyBorder="1"/>
    <xf numFmtId="0" fontId="17" fillId="0" borderId="31" xfId="3" applyFont="1" applyBorder="1"/>
    <xf numFmtId="0" fontId="26" fillId="0" borderId="49" xfId="3" applyFont="1" applyBorder="1" applyAlignment="1">
      <alignment horizontal="left" vertical="center"/>
    </xf>
    <xf numFmtId="0" fontId="17" fillId="0" borderId="39" xfId="3" applyFont="1" applyBorder="1"/>
    <xf numFmtId="0" fontId="28" fillId="0" borderId="27" xfId="3" applyFont="1" applyBorder="1" applyAlignment="1">
      <alignment horizontal="left" vertical="center"/>
    </xf>
    <xf numFmtId="0" fontId="17" fillId="0" borderId="41" xfId="3" applyFont="1" applyBorder="1"/>
    <xf numFmtId="0" fontId="28" fillId="0" borderId="24" xfId="3" applyFont="1" applyBorder="1" applyAlignment="1">
      <alignment horizontal="left" vertical="center"/>
    </xf>
    <xf numFmtId="0" fontId="17" fillId="0" borderId="25" xfId="3" applyFont="1" applyBorder="1"/>
    <xf numFmtId="0" fontId="17" fillId="0" borderId="40" xfId="3" applyFont="1" applyBorder="1"/>
    <xf numFmtId="0" fontId="27" fillId="2" borderId="29" xfId="3" applyFont="1" applyFill="1" applyBorder="1" applyAlignment="1">
      <alignment horizontal="center" vertical="center"/>
    </xf>
    <xf numFmtId="0" fontId="29" fillId="0" borderId="32" xfId="3" applyFont="1" applyBorder="1" applyAlignment="1">
      <alignment horizontal="center" vertical="center" wrapText="1"/>
    </xf>
    <xf numFmtId="0" fontId="29" fillId="0" borderId="36" xfId="3" applyFont="1" applyBorder="1" applyAlignment="1">
      <alignment horizontal="center" vertical="center" wrapText="1"/>
    </xf>
    <xf numFmtId="0" fontId="29" fillId="0" borderId="47" xfId="3" applyFont="1" applyBorder="1" applyAlignment="1">
      <alignment horizontal="center" vertical="center" wrapText="1"/>
    </xf>
    <xf numFmtId="0" fontId="29" fillId="0" borderId="35" xfId="3" applyFont="1" applyBorder="1" applyAlignment="1">
      <alignment horizontal="center" vertical="center"/>
    </xf>
    <xf numFmtId="0" fontId="29" fillId="0" borderId="8" xfId="3" applyFont="1" applyBorder="1" applyAlignment="1">
      <alignment horizontal="center" vertical="center"/>
    </xf>
    <xf numFmtId="0" fontId="29" fillId="0" borderId="48" xfId="3" applyFont="1" applyBorder="1" applyAlignment="1">
      <alignment horizontal="center" vertical="center"/>
    </xf>
    <xf numFmtId="0" fontId="29" fillId="0" borderId="4" xfId="3" applyFont="1" applyAlignment="1">
      <alignment horizontal="center" vertical="center"/>
    </xf>
    <xf numFmtId="0" fontId="29" fillId="0" borderId="44" xfId="3" applyFont="1" applyBorder="1" applyAlignment="1">
      <alignment horizontal="center" vertical="center"/>
    </xf>
    <xf numFmtId="0" fontId="29" fillId="4" borderId="37" xfId="3" applyFont="1" applyFill="1" applyBorder="1" applyAlignment="1">
      <alignment horizontal="center" vertical="center"/>
    </xf>
    <xf numFmtId="0" fontId="29" fillId="4" borderId="38" xfId="3" applyFont="1" applyFill="1" applyBorder="1" applyAlignment="1">
      <alignment horizontal="center" vertical="center"/>
    </xf>
    <xf numFmtId="0" fontId="47" fillId="0" borderId="4" xfId="5" applyFont="1" applyAlignment="1">
      <alignment horizontal="center" wrapText="1"/>
    </xf>
    <xf numFmtId="0" fontId="38" fillId="0" borderId="83" xfId="5" applyFont="1" applyBorder="1" applyAlignment="1">
      <alignment horizontal="center" vertical="top"/>
    </xf>
    <xf numFmtId="0" fontId="38" fillId="0" borderId="4" xfId="5" applyFont="1" applyAlignment="1">
      <alignment horizontal="center" vertical="top"/>
    </xf>
    <xf numFmtId="0" fontId="38" fillId="0" borderId="85" xfId="5" applyFont="1" applyBorder="1" applyAlignment="1">
      <alignment horizontal="center" vertical="top"/>
    </xf>
    <xf numFmtId="0" fontId="38" fillId="0" borderId="86" xfId="5" applyFont="1" applyBorder="1" applyAlignment="1">
      <alignment horizontal="center" vertical="top"/>
    </xf>
    <xf numFmtId="0" fontId="47" fillId="0" borderId="83" xfId="5" applyFont="1" applyBorder="1" applyAlignment="1">
      <alignment horizontal="center" vertical="center"/>
    </xf>
    <xf numFmtId="0" fontId="47" fillId="0" borderId="83" xfId="5" applyFont="1" applyBorder="1" applyAlignment="1">
      <alignment horizontal="center"/>
    </xf>
    <xf numFmtId="0" fontId="47" fillId="0" borderId="4" xfId="5" applyFont="1" applyAlignment="1">
      <alignment horizontal="center"/>
    </xf>
    <xf numFmtId="0" fontId="47" fillId="0" borderId="79" xfId="5" applyFont="1" applyBorder="1" applyAlignment="1">
      <alignment horizontal="center" vertical="center"/>
    </xf>
    <xf numFmtId="0" fontId="47" fillId="0" borderId="81" xfId="5" applyFont="1" applyBorder="1" applyAlignment="1">
      <alignment horizontal="center" vertical="center"/>
    </xf>
    <xf numFmtId="0" fontId="47" fillId="0" borderId="82" xfId="5" applyFont="1" applyBorder="1" applyAlignment="1">
      <alignment horizontal="center" vertical="center"/>
    </xf>
    <xf numFmtId="0" fontId="47" fillId="0" borderId="83" xfId="5" applyFont="1" applyBorder="1" applyAlignment="1">
      <alignment horizontal="center" vertical="top"/>
    </xf>
    <xf numFmtId="0" fontId="47" fillId="0" borderId="4" xfId="5" applyFont="1" applyAlignment="1">
      <alignment horizontal="center" vertical="top"/>
    </xf>
    <xf numFmtId="0" fontId="47" fillId="0" borderId="84" xfId="5" applyFont="1" applyBorder="1" applyAlignment="1">
      <alignment horizontal="center" vertical="top"/>
    </xf>
    <xf numFmtId="0" fontId="47" fillId="0" borderId="85" xfId="5" applyFont="1" applyBorder="1" applyAlignment="1">
      <alignment horizontal="center" vertical="top"/>
    </xf>
    <xf numFmtId="0" fontId="47" fillId="0" borderId="86" xfId="5" applyFont="1" applyBorder="1" applyAlignment="1">
      <alignment horizontal="center" vertical="top"/>
    </xf>
    <xf numFmtId="0" fontId="47" fillId="0" borderId="87" xfId="5" applyFont="1" applyBorder="1" applyAlignment="1">
      <alignment horizontal="center" vertical="top"/>
    </xf>
    <xf numFmtId="0" fontId="51" fillId="34" borderId="0" xfId="0" applyFont="1" applyFill="1" applyAlignment="1">
      <alignment horizontal="center" vertical="center"/>
    </xf>
    <xf numFmtId="0" fontId="10" fillId="35" borderId="0" xfId="0" applyFont="1" applyFill="1" applyAlignment="1">
      <alignment horizontal="center"/>
    </xf>
    <xf numFmtId="0" fontId="0" fillId="35" borderId="0" xfId="0" applyFill="1" applyAlignment="1">
      <alignment horizontal="center"/>
    </xf>
    <xf numFmtId="4" fontId="6" fillId="0" borderId="32" xfId="3" applyNumberFormat="1" applyFont="1" applyBorder="1" applyAlignment="1">
      <alignment horizontal="center" vertical="top"/>
    </xf>
    <xf numFmtId="4" fontId="6" fillId="0" borderId="33" xfId="3" applyNumberFormat="1" applyFont="1" applyBorder="1" applyAlignment="1">
      <alignment horizontal="center" vertical="top"/>
    </xf>
    <xf numFmtId="0" fontId="34" fillId="0" borderId="52" xfId="4" applyFont="1" applyBorder="1" applyAlignment="1">
      <alignment horizontal="center" vertical="center" wrapText="1"/>
    </xf>
    <xf numFmtId="0" fontId="33" fillId="0" borderId="51" xfId="4" applyFont="1" applyBorder="1" applyAlignment="1">
      <alignment horizontal="center"/>
    </xf>
    <xf numFmtId="0" fontId="33" fillId="0" borderId="52" xfId="4" applyFont="1" applyBorder="1" applyAlignment="1">
      <alignment horizontal="center"/>
    </xf>
    <xf numFmtId="0" fontId="33" fillId="0" borderId="53" xfId="4" applyFont="1" applyBorder="1" applyAlignment="1">
      <alignment horizontal="center"/>
    </xf>
    <xf numFmtId="0" fontId="33" fillId="0" borderId="54" xfId="4" applyFont="1" applyBorder="1" applyAlignment="1">
      <alignment horizontal="center"/>
    </xf>
    <xf numFmtId="0" fontId="33" fillId="0" borderId="4" xfId="4" applyFont="1" applyAlignment="1">
      <alignment horizontal="center"/>
    </xf>
    <xf numFmtId="0" fontId="33" fillId="0" borderId="55" xfId="4" applyFont="1" applyBorder="1" applyAlignment="1">
      <alignment horizontal="center"/>
    </xf>
    <xf numFmtId="0" fontId="33" fillId="0" borderId="56" xfId="4" applyFont="1" applyBorder="1" applyAlignment="1">
      <alignment horizontal="center"/>
    </xf>
    <xf numFmtId="0" fontId="33" fillId="0" borderId="57" xfId="4" applyFont="1" applyBorder="1" applyAlignment="1">
      <alignment horizontal="center"/>
    </xf>
    <xf numFmtId="0" fontId="33" fillId="0" borderId="58" xfId="4" applyFont="1" applyBorder="1" applyAlignment="1">
      <alignment horizontal="center"/>
    </xf>
    <xf numFmtId="0" fontId="34" fillId="0" borderId="51" xfId="4" applyFont="1" applyBorder="1" applyAlignment="1">
      <alignment horizontal="center"/>
    </xf>
    <xf numFmtId="0" fontId="34" fillId="0" borderId="52" xfId="4" applyFont="1" applyBorder="1" applyAlignment="1">
      <alignment horizontal="center"/>
    </xf>
    <xf numFmtId="0" fontId="34" fillId="0" borderId="53" xfId="4" applyFont="1" applyBorder="1" applyAlignment="1">
      <alignment horizontal="center"/>
    </xf>
    <xf numFmtId="0" fontId="34" fillId="0" borderId="54" xfId="4" applyFont="1" applyBorder="1" applyAlignment="1">
      <alignment horizontal="center"/>
    </xf>
    <xf numFmtId="0" fontId="34" fillId="0" borderId="4" xfId="4" applyFont="1" applyAlignment="1">
      <alignment horizontal="center"/>
    </xf>
    <xf numFmtId="0" fontId="34" fillId="0" borderId="55" xfId="4" applyFont="1" applyBorder="1" applyAlignment="1">
      <alignment horizontal="center"/>
    </xf>
    <xf numFmtId="0" fontId="34" fillId="0" borderId="56" xfId="4" applyFont="1" applyBorder="1" applyAlignment="1">
      <alignment horizontal="center"/>
    </xf>
    <xf numFmtId="0" fontId="34" fillId="0" borderId="57" xfId="4" applyFont="1" applyBorder="1" applyAlignment="1">
      <alignment horizontal="center"/>
    </xf>
    <xf numFmtId="0" fontId="34" fillId="0" borderId="58" xfId="4" applyFont="1" applyBorder="1" applyAlignment="1">
      <alignment horizontal="center"/>
    </xf>
    <xf numFmtId="0" fontId="32" fillId="0" borderId="32" xfId="4" applyFont="1" applyBorder="1" applyAlignment="1">
      <alignment horizontal="center"/>
    </xf>
    <xf numFmtId="0" fontId="32" fillId="0" borderId="36" xfId="4" applyFont="1" applyBorder="1" applyAlignment="1">
      <alignment horizontal="center"/>
    </xf>
    <xf numFmtId="0" fontId="32" fillId="0" borderId="33" xfId="4" applyFont="1" applyBorder="1" applyAlignment="1">
      <alignment horizontal="center"/>
    </xf>
    <xf numFmtId="0" fontId="38" fillId="0" borderId="79" xfId="5" applyFont="1" applyBorder="1" applyAlignment="1">
      <alignment horizontal="center" vertical="center" wrapText="1"/>
    </xf>
    <xf numFmtId="0" fontId="38" fillId="0" borderId="81" xfId="5" applyFont="1" applyBorder="1" applyAlignment="1">
      <alignment horizontal="center" vertical="center" wrapText="1"/>
    </xf>
    <xf numFmtId="0" fontId="38" fillId="0" borderId="82" xfId="5" applyFont="1" applyBorder="1" applyAlignment="1">
      <alignment horizontal="center" vertical="center" wrapText="1"/>
    </xf>
    <xf numFmtId="0" fontId="38" fillId="0" borderId="83" xfId="5" applyFont="1" applyBorder="1" applyAlignment="1">
      <alignment horizontal="center"/>
    </xf>
    <xf numFmtId="0" fontId="38" fillId="0" borderId="4" xfId="5" applyFont="1" applyAlignment="1">
      <alignment horizontal="center"/>
    </xf>
    <xf numFmtId="0" fontId="38" fillId="0" borderId="84" xfId="5" applyFont="1" applyBorder="1" applyAlignment="1">
      <alignment horizontal="center"/>
    </xf>
    <xf numFmtId="0" fontId="38" fillId="0" borderId="85" xfId="5" applyFont="1" applyBorder="1" applyAlignment="1">
      <alignment horizontal="center"/>
    </xf>
    <xf numFmtId="0" fontId="38" fillId="0" borderId="86" xfId="5" applyFont="1" applyBorder="1" applyAlignment="1">
      <alignment horizontal="center"/>
    </xf>
    <xf numFmtId="0" fontId="38" fillId="0" borderId="87" xfId="5" applyFont="1" applyBorder="1" applyAlignment="1">
      <alignment horizontal="center"/>
    </xf>
    <xf numFmtId="0" fontId="38" fillId="0" borderId="84" xfId="5" applyFont="1" applyBorder="1" applyAlignment="1">
      <alignment horizontal="center" vertical="top"/>
    </xf>
    <xf numFmtId="0" fontId="38" fillId="0" borderId="87" xfId="5" applyFont="1" applyBorder="1" applyAlignment="1">
      <alignment horizontal="center" vertical="top"/>
    </xf>
    <xf numFmtId="0" fontId="20" fillId="37" borderId="4" xfId="3" applyFont="1" applyFill="1" applyAlignment="1">
      <alignment horizontal="center" vertical="center"/>
    </xf>
    <xf numFmtId="0" fontId="33" fillId="0" borderId="51" xfId="11" applyFont="1" applyBorder="1" applyAlignment="1">
      <alignment horizontal="center"/>
    </xf>
    <xf numFmtId="0" fontId="33" fillId="0" borderId="52" xfId="11" applyFont="1" applyBorder="1" applyAlignment="1">
      <alignment horizontal="center"/>
    </xf>
    <xf numFmtId="0" fontId="33" fillId="0" borderId="53" xfId="11" applyFont="1" applyBorder="1" applyAlignment="1">
      <alignment horizontal="center"/>
    </xf>
    <xf numFmtId="0" fontId="33" fillId="0" borderId="54" xfId="11" applyFont="1" applyBorder="1" applyAlignment="1">
      <alignment horizontal="center"/>
    </xf>
    <xf numFmtId="0" fontId="33" fillId="0" borderId="4" xfId="11" applyFont="1" applyAlignment="1">
      <alignment horizontal="center"/>
    </xf>
    <xf numFmtId="0" fontId="33" fillId="0" borderId="55" xfId="11" applyFont="1" applyBorder="1" applyAlignment="1">
      <alignment horizontal="center"/>
    </xf>
    <xf numFmtId="0" fontId="33" fillId="0" borderId="56" xfId="11" applyFont="1" applyBorder="1" applyAlignment="1">
      <alignment horizontal="center"/>
    </xf>
    <xf numFmtId="0" fontId="33" fillId="0" borderId="57" xfId="11" applyFont="1" applyBorder="1" applyAlignment="1">
      <alignment horizontal="center"/>
    </xf>
    <xf numFmtId="0" fontId="33" fillId="0" borderId="58" xfId="11" applyFont="1" applyBorder="1" applyAlignment="1">
      <alignment horizontal="center"/>
    </xf>
    <xf numFmtId="0" fontId="38" fillId="0" borderId="79" xfId="10" applyFont="1" applyBorder="1" applyAlignment="1">
      <alignment horizontal="center" vertical="center" wrapText="1"/>
    </xf>
    <xf numFmtId="0" fontId="38" fillId="0" borderId="81" xfId="10" applyFont="1" applyBorder="1" applyAlignment="1">
      <alignment horizontal="center" vertical="center" wrapText="1"/>
    </xf>
    <xf numFmtId="0" fontId="38" fillId="0" borderId="82" xfId="10" applyFont="1" applyBorder="1" applyAlignment="1">
      <alignment horizontal="center" vertical="center" wrapText="1"/>
    </xf>
    <xf numFmtId="0" fontId="38" fillId="0" borderId="83" xfId="10" applyFont="1" applyBorder="1" applyAlignment="1">
      <alignment horizontal="center"/>
    </xf>
    <xf numFmtId="0" fontId="38" fillId="0" borderId="4" xfId="10" applyFont="1" applyAlignment="1">
      <alignment horizontal="center"/>
    </xf>
    <xf numFmtId="0" fontId="38" fillId="0" borderId="84" xfId="10" applyFont="1" applyBorder="1" applyAlignment="1">
      <alignment horizontal="center"/>
    </xf>
    <xf numFmtId="0" fontId="38" fillId="0" borderId="85" xfId="10" applyFont="1" applyBorder="1" applyAlignment="1">
      <alignment horizontal="center"/>
    </xf>
    <xf numFmtId="0" fontId="38" fillId="0" borderId="86" xfId="10" applyFont="1" applyBorder="1" applyAlignment="1">
      <alignment horizontal="center"/>
    </xf>
    <xf numFmtId="0" fontId="38" fillId="0" borderId="87" xfId="10" applyFont="1" applyBorder="1" applyAlignment="1">
      <alignment horizontal="center"/>
    </xf>
    <xf numFmtId="0" fontId="34" fillId="0" borderId="52" xfId="11" applyFont="1" applyBorder="1" applyAlignment="1">
      <alignment horizontal="center" vertical="center" wrapText="1"/>
    </xf>
    <xf numFmtId="0" fontId="34" fillId="0" borderId="51" xfId="11" applyFont="1" applyBorder="1" applyAlignment="1">
      <alignment horizontal="center"/>
    </xf>
    <xf numFmtId="0" fontId="34" fillId="0" borderId="52" xfId="11" applyFont="1" applyBorder="1" applyAlignment="1">
      <alignment horizontal="center"/>
    </xf>
    <xf numFmtId="0" fontId="34" fillId="0" borderId="53" xfId="11" applyFont="1" applyBorder="1" applyAlignment="1">
      <alignment horizontal="center"/>
    </xf>
    <xf numFmtId="0" fontId="34" fillId="0" borderId="54" xfId="11" applyFont="1" applyBorder="1" applyAlignment="1">
      <alignment horizontal="center"/>
    </xf>
    <xf numFmtId="0" fontId="34" fillId="0" borderId="4" xfId="11" applyFont="1" applyAlignment="1">
      <alignment horizontal="center"/>
    </xf>
    <xf numFmtId="0" fontId="34" fillId="0" borderId="55" xfId="11" applyFont="1" applyBorder="1" applyAlignment="1">
      <alignment horizontal="center"/>
    </xf>
    <xf numFmtId="0" fontId="34" fillId="0" borderId="56" xfId="11" applyFont="1" applyBorder="1" applyAlignment="1">
      <alignment horizontal="center"/>
    </xf>
    <xf numFmtId="0" fontId="34" fillId="0" borderId="57" xfId="11" applyFont="1" applyBorder="1" applyAlignment="1">
      <alignment horizontal="center"/>
    </xf>
    <xf numFmtId="0" fontId="34" fillId="0" borderId="58" xfId="11" applyFont="1" applyBorder="1" applyAlignment="1">
      <alignment horizontal="center"/>
    </xf>
    <xf numFmtId="0" fontId="32" fillId="0" borderId="32" xfId="11" applyFont="1" applyBorder="1" applyAlignment="1">
      <alignment horizontal="center"/>
    </xf>
    <xf numFmtId="0" fontId="32" fillId="0" borderId="36" xfId="11" applyFont="1" applyBorder="1" applyAlignment="1">
      <alignment horizontal="center"/>
    </xf>
    <xf numFmtId="0" fontId="32" fillId="0" borderId="33" xfId="11" applyFont="1" applyBorder="1" applyAlignment="1">
      <alignment horizontal="center"/>
    </xf>
    <xf numFmtId="0" fontId="6" fillId="32" borderId="2" xfId="0" applyFont="1" applyFill="1" applyBorder="1" applyAlignment="1">
      <alignment horizontal="right" vertical="top" wrapText="1"/>
    </xf>
    <xf numFmtId="0" fontId="5" fillId="15" borderId="4" xfId="0" applyFont="1" applyFill="1" applyBorder="1"/>
    <xf numFmtId="0" fontId="5" fillId="15" borderId="3" xfId="0" applyFont="1" applyFill="1" applyBorder="1"/>
    <xf numFmtId="4" fontId="6" fillId="2" borderId="4" xfId="0" applyNumberFormat="1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</cellXfs>
  <cellStyles count="12">
    <cellStyle name="Moeda" xfId="1" builtinId="4"/>
    <cellStyle name="Moeda 2" xfId="7" xr:uid="{00000000-0005-0000-0000-000001000000}"/>
    <cellStyle name="Normal" xfId="0" builtinId="0"/>
    <cellStyle name="Normal 2" xfId="4" xr:uid="{00000000-0005-0000-0000-000003000000}"/>
    <cellStyle name="Normal 2 2" xfId="11" xr:uid="{D1012C70-5006-4E6C-A300-C7F28F3D8CA8}"/>
    <cellStyle name="Normal 3" xfId="5" xr:uid="{00000000-0005-0000-0000-000004000000}"/>
    <cellStyle name="Normal 3 2" xfId="10" xr:uid="{09C350CD-FD46-4685-A2A7-D8F63985ABCF}"/>
    <cellStyle name="Normal 4" xfId="3" xr:uid="{00000000-0005-0000-0000-000005000000}"/>
    <cellStyle name="Normal 5" xfId="9" xr:uid="{F001BEA5-7B92-44F2-8974-E010E1952E9B}"/>
    <cellStyle name="Porcentagem" xfId="2" builtinId="5"/>
    <cellStyle name="Porcentagem 2" xfId="8" xr:uid="{00000000-0005-0000-0000-000007000000}"/>
    <cellStyle name="Vírgula 2" xfId="6" xr:uid="{00000000-0005-0000-0000-000008000000}"/>
  </cellStyles>
  <dxfs count="20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7030A0"/>
      <color rgb="FFFFA7A7"/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20.jpeg"/><Relationship Id="rId3" Type="http://schemas.openxmlformats.org/officeDocument/2006/relationships/image" Target="../media/image5.jpeg"/><Relationship Id="rId21" Type="http://schemas.openxmlformats.org/officeDocument/2006/relationships/image" Target="../media/image23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9.jpeg"/><Relationship Id="rId2" Type="http://schemas.openxmlformats.org/officeDocument/2006/relationships/image" Target="../media/image4.jpeg"/><Relationship Id="rId16" Type="http://schemas.openxmlformats.org/officeDocument/2006/relationships/image" Target="../media/image18.jpeg"/><Relationship Id="rId20" Type="http://schemas.openxmlformats.org/officeDocument/2006/relationships/image" Target="../media/image22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7.jpeg"/><Relationship Id="rId10" Type="http://schemas.openxmlformats.org/officeDocument/2006/relationships/image" Target="../media/image12.jpeg"/><Relationship Id="rId19" Type="http://schemas.openxmlformats.org/officeDocument/2006/relationships/image" Target="../media/image21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6.jpeg"/><Relationship Id="rId22" Type="http://schemas.openxmlformats.org/officeDocument/2006/relationships/image" Target="../media/image24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jpeg"/><Relationship Id="rId13" Type="http://schemas.openxmlformats.org/officeDocument/2006/relationships/image" Target="../media/image37.jpe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21" Type="http://schemas.openxmlformats.org/officeDocument/2006/relationships/image" Target="../media/image45.jpeg"/><Relationship Id="rId7" Type="http://schemas.openxmlformats.org/officeDocument/2006/relationships/image" Target="../media/image31.jpeg"/><Relationship Id="rId12" Type="http://schemas.openxmlformats.org/officeDocument/2006/relationships/image" Target="../media/image36.jpeg"/><Relationship Id="rId17" Type="http://schemas.openxmlformats.org/officeDocument/2006/relationships/image" Target="../media/image41.jpeg"/><Relationship Id="rId2" Type="http://schemas.openxmlformats.org/officeDocument/2006/relationships/image" Target="../media/image26.jpeg"/><Relationship Id="rId16" Type="http://schemas.openxmlformats.org/officeDocument/2006/relationships/image" Target="../media/image40.jpeg"/><Relationship Id="rId20" Type="http://schemas.openxmlformats.org/officeDocument/2006/relationships/image" Target="../media/image44.jpeg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jpeg"/><Relationship Id="rId5" Type="http://schemas.openxmlformats.org/officeDocument/2006/relationships/image" Target="../media/image29.jpeg"/><Relationship Id="rId15" Type="http://schemas.openxmlformats.org/officeDocument/2006/relationships/image" Target="../media/image39.jpeg"/><Relationship Id="rId23" Type="http://schemas.openxmlformats.org/officeDocument/2006/relationships/image" Target="../media/image47.jpeg"/><Relationship Id="rId10" Type="http://schemas.openxmlformats.org/officeDocument/2006/relationships/image" Target="../media/image34.jpeg"/><Relationship Id="rId19" Type="http://schemas.openxmlformats.org/officeDocument/2006/relationships/image" Target="../media/image43.jpeg"/><Relationship Id="rId4" Type="http://schemas.openxmlformats.org/officeDocument/2006/relationships/image" Target="../media/image28.jpeg"/><Relationship Id="rId9" Type="http://schemas.openxmlformats.org/officeDocument/2006/relationships/image" Target="../media/image33.jpeg"/><Relationship Id="rId14" Type="http://schemas.openxmlformats.org/officeDocument/2006/relationships/image" Target="../media/image38.jpeg"/><Relationship Id="rId22" Type="http://schemas.openxmlformats.org/officeDocument/2006/relationships/image" Target="../media/image46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2001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21397</xdr:colOff>
      <xdr:row>2</xdr:row>
      <xdr:rowOff>51129</xdr:rowOff>
    </xdr:from>
    <xdr:to>
      <xdr:col>7</xdr:col>
      <xdr:colOff>396875</xdr:colOff>
      <xdr:row>12</xdr:row>
      <xdr:rowOff>150813</xdr:rowOff>
    </xdr:to>
    <xdr:sp macro="" textlink="">
      <xdr:nvSpPr>
        <xdr:cNvPr id="17" name="Retângulo 16">
          <a:extLst>
            <a:ext uri="{FF2B5EF4-FFF2-40B4-BE49-F238E27FC236}">
              <a16:creationId xmlns:a16="http://schemas.microsoft.com/office/drawing/2014/main" id="{B9332AA2-089B-4F65-AAC2-A7170B73AB68}"/>
            </a:ext>
          </a:extLst>
        </xdr:cNvPr>
        <xdr:cNvSpPr/>
      </xdr:nvSpPr>
      <xdr:spPr>
        <a:xfrm>
          <a:off x="132522" y="575004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15</xdr:col>
      <xdr:colOff>375478</xdr:colOff>
      <xdr:row>12</xdr:row>
      <xdr:rowOff>99684</xdr:rowOff>
    </xdr:to>
    <xdr:sp macro="" textlink="">
      <xdr:nvSpPr>
        <xdr:cNvPr id="21" name="Retângulo 20">
          <a:extLst>
            <a:ext uri="{FF2B5EF4-FFF2-40B4-BE49-F238E27FC236}">
              <a16:creationId xmlns:a16="http://schemas.microsoft.com/office/drawing/2014/main" id="{BDDD178B-9C44-4478-B43E-67A6519B4925}"/>
            </a:ext>
          </a:extLst>
        </xdr:cNvPr>
        <xdr:cNvSpPr/>
      </xdr:nvSpPr>
      <xdr:spPr>
        <a:xfrm>
          <a:off x="3167063" y="5238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7</xdr:col>
      <xdr:colOff>375478</xdr:colOff>
      <xdr:row>25</xdr:row>
      <xdr:rowOff>99684</xdr:rowOff>
    </xdr:to>
    <xdr:sp macro="" textlink="">
      <xdr:nvSpPr>
        <xdr:cNvPr id="22" name="Retângulo 21">
          <a:extLst>
            <a:ext uri="{FF2B5EF4-FFF2-40B4-BE49-F238E27FC236}">
              <a16:creationId xmlns:a16="http://schemas.microsoft.com/office/drawing/2014/main" id="{F788A87A-DD88-489B-ADC4-0C5E8207BBDF}"/>
            </a:ext>
          </a:extLst>
        </xdr:cNvPr>
        <xdr:cNvSpPr/>
      </xdr:nvSpPr>
      <xdr:spPr>
        <a:xfrm>
          <a:off x="111125" y="3294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15</xdr:col>
      <xdr:colOff>375478</xdr:colOff>
      <xdr:row>25</xdr:row>
      <xdr:rowOff>99684</xdr:rowOff>
    </xdr:to>
    <xdr:sp macro="" textlink="">
      <xdr:nvSpPr>
        <xdr:cNvPr id="24" name="Retângulo 23">
          <a:extLst>
            <a:ext uri="{FF2B5EF4-FFF2-40B4-BE49-F238E27FC236}">
              <a16:creationId xmlns:a16="http://schemas.microsoft.com/office/drawing/2014/main" id="{6F38E05F-8349-438B-8AF7-72C65F42D34A}"/>
            </a:ext>
          </a:extLst>
        </xdr:cNvPr>
        <xdr:cNvSpPr/>
      </xdr:nvSpPr>
      <xdr:spPr>
        <a:xfrm>
          <a:off x="3167063" y="3294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28</xdr:row>
      <xdr:rowOff>0</xdr:rowOff>
    </xdr:from>
    <xdr:to>
      <xdr:col>7</xdr:col>
      <xdr:colOff>375478</xdr:colOff>
      <xdr:row>38</xdr:row>
      <xdr:rowOff>99684</xdr:rowOff>
    </xdr:to>
    <xdr:sp macro="" textlink="">
      <xdr:nvSpPr>
        <xdr:cNvPr id="25" name="Retângulo 24">
          <a:extLst>
            <a:ext uri="{FF2B5EF4-FFF2-40B4-BE49-F238E27FC236}">
              <a16:creationId xmlns:a16="http://schemas.microsoft.com/office/drawing/2014/main" id="{F7A1EF7F-E468-40D5-A606-7DF23609E068}"/>
            </a:ext>
          </a:extLst>
        </xdr:cNvPr>
        <xdr:cNvSpPr/>
      </xdr:nvSpPr>
      <xdr:spPr>
        <a:xfrm>
          <a:off x="111125" y="57626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54</xdr:row>
      <xdr:rowOff>0</xdr:rowOff>
    </xdr:from>
    <xdr:to>
      <xdr:col>15</xdr:col>
      <xdr:colOff>375478</xdr:colOff>
      <xdr:row>64</xdr:row>
      <xdr:rowOff>99684</xdr:rowOff>
    </xdr:to>
    <xdr:sp macro="" textlink="">
      <xdr:nvSpPr>
        <xdr:cNvPr id="26" name="Retângulo 25">
          <a:extLst>
            <a:ext uri="{FF2B5EF4-FFF2-40B4-BE49-F238E27FC236}">
              <a16:creationId xmlns:a16="http://schemas.microsoft.com/office/drawing/2014/main" id="{0A5DA498-4A70-42F8-8020-2DA81F62785A}"/>
            </a:ext>
          </a:extLst>
        </xdr:cNvPr>
        <xdr:cNvSpPr/>
      </xdr:nvSpPr>
      <xdr:spPr>
        <a:xfrm>
          <a:off x="3167063" y="112871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41</xdr:row>
      <xdr:rowOff>0</xdr:rowOff>
    </xdr:from>
    <xdr:to>
      <xdr:col>7</xdr:col>
      <xdr:colOff>375478</xdr:colOff>
      <xdr:row>51</xdr:row>
      <xdr:rowOff>99684</xdr:rowOff>
    </xdr:to>
    <xdr:sp macro="" textlink="">
      <xdr:nvSpPr>
        <xdr:cNvPr id="27" name="Retângulo 26">
          <a:extLst>
            <a:ext uri="{FF2B5EF4-FFF2-40B4-BE49-F238E27FC236}">
              <a16:creationId xmlns:a16="http://schemas.microsoft.com/office/drawing/2014/main" id="{BA46AECE-411A-474E-A6CF-2591E0E40CA0}"/>
            </a:ext>
          </a:extLst>
        </xdr:cNvPr>
        <xdr:cNvSpPr/>
      </xdr:nvSpPr>
      <xdr:spPr>
        <a:xfrm>
          <a:off x="111125" y="8223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41</xdr:row>
      <xdr:rowOff>0</xdr:rowOff>
    </xdr:from>
    <xdr:to>
      <xdr:col>15</xdr:col>
      <xdr:colOff>375478</xdr:colOff>
      <xdr:row>51</xdr:row>
      <xdr:rowOff>99684</xdr:rowOff>
    </xdr:to>
    <xdr:sp macro="" textlink="">
      <xdr:nvSpPr>
        <xdr:cNvPr id="28" name="Retângulo 27">
          <a:extLst>
            <a:ext uri="{FF2B5EF4-FFF2-40B4-BE49-F238E27FC236}">
              <a16:creationId xmlns:a16="http://schemas.microsoft.com/office/drawing/2014/main" id="{D843AD3B-735A-4C78-AFCC-6D95C5507078}"/>
            </a:ext>
          </a:extLst>
        </xdr:cNvPr>
        <xdr:cNvSpPr/>
      </xdr:nvSpPr>
      <xdr:spPr>
        <a:xfrm>
          <a:off x="3167063" y="8223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15</xdr:col>
      <xdr:colOff>375478</xdr:colOff>
      <xdr:row>38</xdr:row>
      <xdr:rowOff>99684</xdr:rowOff>
    </xdr:to>
    <xdr:sp macro="" textlink="">
      <xdr:nvSpPr>
        <xdr:cNvPr id="29" name="Retângulo 28">
          <a:extLst>
            <a:ext uri="{FF2B5EF4-FFF2-40B4-BE49-F238E27FC236}">
              <a16:creationId xmlns:a16="http://schemas.microsoft.com/office/drawing/2014/main" id="{431D1F66-2E04-46BA-A7F0-42979C5A8EC7}"/>
            </a:ext>
          </a:extLst>
        </xdr:cNvPr>
        <xdr:cNvSpPr/>
      </xdr:nvSpPr>
      <xdr:spPr>
        <a:xfrm>
          <a:off x="3167063" y="57626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54</xdr:row>
      <xdr:rowOff>0</xdr:rowOff>
    </xdr:from>
    <xdr:to>
      <xdr:col>7</xdr:col>
      <xdr:colOff>375478</xdr:colOff>
      <xdr:row>64</xdr:row>
      <xdr:rowOff>99684</xdr:rowOff>
    </xdr:to>
    <xdr:sp macro="" textlink="">
      <xdr:nvSpPr>
        <xdr:cNvPr id="30" name="Retângulo 29">
          <a:extLst>
            <a:ext uri="{FF2B5EF4-FFF2-40B4-BE49-F238E27FC236}">
              <a16:creationId xmlns:a16="http://schemas.microsoft.com/office/drawing/2014/main" id="{892B99F7-DB2B-46B6-A419-1266F33E0723}"/>
            </a:ext>
          </a:extLst>
        </xdr:cNvPr>
        <xdr:cNvSpPr/>
      </xdr:nvSpPr>
      <xdr:spPr>
        <a:xfrm>
          <a:off x="111125" y="112871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67</xdr:row>
      <xdr:rowOff>0</xdr:rowOff>
    </xdr:from>
    <xdr:to>
      <xdr:col>7</xdr:col>
      <xdr:colOff>375478</xdr:colOff>
      <xdr:row>77</xdr:row>
      <xdr:rowOff>99684</xdr:rowOff>
    </xdr:to>
    <xdr:sp macro="" textlink="">
      <xdr:nvSpPr>
        <xdr:cNvPr id="31" name="Retângulo 30">
          <a:extLst>
            <a:ext uri="{FF2B5EF4-FFF2-40B4-BE49-F238E27FC236}">
              <a16:creationId xmlns:a16="http://schemas.microsoft.com/office/drawing/2014/main" id="{F1F6FF0F-C6FB-4832-A8A7-10ADED01F984}"/>
            </a:ext>
          </a:extLst>
        </xdr:cNvPr>
        <xdr:cNvSpPr/>
      </xdr:nvSpPr>
      <xdr:spPr>
        <a:xfrm>
          <a:off x="111125" y="1416843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67</xdr:row>
      <xdr:rowOff>0</xdr:rowOff>
    </xdr:from>
    <xdr:to>
      <xdr:col>15</xdr:col>
      <xdr:colOff>375478</xdr:colOff>
      <xdr:row>77</xdr:row>
      <xdr:rowOff>99684</xdr:rowOff>
    </xdr:to>
    <xdr:sp macro="" textlink="">
      <xdr:nvSpPr>
        <xdr:cNvPr id="32" name="Retângulo 31">
          <a:extLst>
            <a:ext uri="{FF2B5EF4-FFF2-40B4-BE49-F238E27FC236}">
              <a16:creationId xmlns:a16="http://schemas.microsoft.com/office/drawing/2014/main" id="{386E50E0-EC40-4017-B7DF-BCD06B33994D}"/>
            </a:ext>
          </a:extLst>
        </xdr:cNvPr>
        <xdr:cNvSpPr/>
      </xdr:nvSpPr>
      <xdr:spPr>
        <a:xfrm>
          <a:off x="3167063" y="1416843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80</xdr:row>
      <xdr:rowOff>0</xdr:rowOff>
    </xdr:from>
    <xdr:to>
      <xdr:col>7</xdr:col>
      <xdr:colOff>375478</xdr:colOff>
      <xdr:row>90</xdr:row>
      <xdr:rowOff>99684</xdr:rowOff>
    </xdr:to>
    <xdr:sp macro="" textlink="">
      <xdr:nvSpPr>
        <xdr:cNvPr id="33" name="Retângulo 32">
          <a:extLst>
            <a:ext uri="{FF2B5EF4-FFF2-40B4-BE49-F238E27FC236}">
              <a16:creationId xmlns:a16="http://schemas.microsoft.com/office/drawing/2014/main" id="{2E37A32E-AD65-437A-8BE0-3DFB37AF8204}"/>
            </a:ext>
          </a:extLst>
        </xdr:cNvPr>
        <xdr:cNvSpPr/>
      </xdr:nvSpPr>
      <xdr:spPr>
        <a:xfrm>
          <a:off x="111125" y="167957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80</xdr:row>
      <xdr:rowOff>0</xdr:rowOff>
    </xdr:from>
    <xdr:to>
      <xdr:col>15</xdr:col>
      <xdr:colOff>375478</xdr:colOff>
      <xdr:row>90</xdr:row>
      <xdr:rowOff>99684</xdr:rowOff>
    </xdr:to>
    <xdr:sp macro="" textlink="">
      <xdr:nvSpPr>
        <xdr:cNvPr id="34" name="Retângulo 33">
          <a:extLst>
            <a:ext uri="{FF2B5EF4-FFF2-40B4-BE49-F238E27FC236}">
              <a16:creationId xmlns:a16="http://schemas.microsoft.com/office/drawing/2014/main" id="{C6326690-FC25-4099-A84E-B91F1F30E9FA}"/>
            </a:ext>
          </a:extLst>
        </xdr:cNvPr>
        <xdr:cNvSpPr/>
      </xdr:nvSpPr>
      <xdr:spPr>
        <a:xfrm>
          <a:off x="3167063" y="167957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93</xdr:row>
      <xdr:rowOff>0</xdr:rowOff>
    </xdr:from>
    <xdr:to>
      <xdr:col>7</xdr:col>
      <xdr:colOff>375478</xdr:colOff>
      <xdr:row>103</xdr:row>
      <xdr:rowOff>99684</xdr:rowOff>
    </xdr:to>
    <xdr:sp macro="" textlink="">
      <xdr:nvSpPr>
        <xdr:cNvPr id="35" name="Retângulo 34">
          <a:extLst>
            <a:ext uri="{FF2B5EF4-FFF2-40B4-BE49-F238E27FC236}">
              <a16:creationId xmlns:a16="http://schemas.microsoft.com/office/drawing/2014/main" id="{C87C3E81-D34A-4C54-B97D-10234C4E148E}"/>
            </a:ext>
          </a:extLst>
        </xdr:cNvPr>
        <xdr:cNvSpPr/>
      </xdr:nvSpPr>
      <xdr:spPr>
        <a:xfrm>
          <a:off x="111125" y="196373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93</xdr:row>
      <xdr:rowOff>0</xdr:rowOff>
    </xdr:from>
    <xdr:to>
      <xdr:col>15</xdr:col>
      <xdr:colOff>375478</xdr:colOff>
      <xdr:row>103</xdr:row>
      <xdr:rowOff>99684</xdr:rowOff>
    </xdr:to>
    <xdr:sp macro="" textlink="">
      <xdr:nvSpPr>
        <xdr:cNvPr id="36" name="Retângulo 35">
          <a:extLst>
            <a:ext uri="{FF2B5EF4-FFF2-40B4-BE49-F238E27FC236}">
              <a16:creationId xmlns:a16="http://schemas.microsoft.com/office/drawing/2014/main" id="{967583B0-1D05-4553-B202-AA3F417007DE}"/>
            </a:ext>
          </a:extLst>
        </xdr:cNvPr>
        <xdr:cNvSpPr/>
      </xdr:nvSpPr>
      <xdr:spPr>
        <a:xfrm>
          <a:off x="3167063" y="196373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23812</xdr:colOff>
      <xdr:row>119</xdr:row>
      <xdr:rowOff>31749</xdr:rowOff>
    </xdr:from>
    <xdr:to>
      <xdr:col>15</xdr:col>
      <xdr:colOff>399290</xdr:colOff>
      <xdr:row>129</xdr:row>
      <xdr:rowOff>131433</xdr:rowOff>
    </xdr:to>
    <xdr:sp macro="" textlink="">
      <xdr:nvSpPr>
        <xdr:cNvPr id="37" name="Retângulo 36">
          <a:extLst>
            <a:ext uri="{FF2B5EF4-FFF2-40B4-BE49-F238E27FC236}">
              <a16:creationId xmlns:a16="http://schemas.microsoft.com/office/drawing/2014/main" id="{D22EFC87-254A-484D-84DD-132203DBC81D}"/>
            </a:ext>
          </a:extLst>
        </xdr:cNvPr>
        <xdr:cNvSpPr/>
      </xdr:nvSpPr>
      <xdr:spPr>
        <a:xfrm>
          <a:off x="3190875" y="25677812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106</xdr:row>
      <xdr:rowOff>0</xdr:rowOff>
    </xdr:from>
    <xdr:to>
      <xdr:col>15</xdr:col>
      <xdr:colOff>375478</xdr:colOff>
      <xdr:row>116</xdr:row>
      <xdr:rowOff>99684</xdr:rowOff>
    </xdr:to>
    <xdr:sp macro="" textlink="">
      <xdr:nvSpPr>
        <xdr:cNvPr id="38" name="Retângulo 37">
          <a:extLst>
            <a:ext uri="{FF2B5EF4-FFF2-40B4-BE49-F238E27FC236}">
              <a16:creationId xmlns:a16="http://schemas.microsoft.com/office/drawing/2014/main" id="{1C815F2A-A4CB-4CC8-9BFF-C7880E6F8ED9}"/>
            </a:ext>
          </a:extLst>
        </xdr:cNvPr>
        <xdr:cNvSpPr/>
      </xdr:nvSpPr>
      <xdr:spPr>
        <a:xfrm>
          <a:off x="3167063" y="22574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226</xdr:row>
      <xdr:rowOff>0</xdr:rowOff>
    </xdr:from>
    <xdr:to>
      <xdr:col>7</xdr:col>
      <xdr:colOff>375478</xdr:colOff>
      <xdr:row>236</xdr:row>
      <xdr:rowOff>99684</xdr:rowOff>
    </xdr:to>
    <xdr:sp macro="" textlink="">
      <xdr:nvSpPr>
        <xdr:cNvPr id="39" name="Retângulo 38">
          <a:extLst>
            <a:ext uri="{FF2B5EF4-FFF2-40B4-BE49-F238E27FC236}">
              <a16:creationId xmlns:a16="http://schemas.microsoft.com/office/drawing/2014/main" id="{3BAD8655-B833-43B2-967B-F4BA45B6824E}"/>
            </a:ext>
          </a:extLst>
        </xdr:cNvPr>
        <xdr:cNvSpPr/>
      </xdr:nvSpPr>
      <xdr:spPr>
        <a:xfrm>
          <a:off x="111125" y="36369625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226</xdr:row>
      <xdr:rowOff>0</xdr:rowOff>
    </xdr:from>
    <xdr:to>
      <xdr:col>15</xdr:col>
      <xdr:colOff>375478</xdr:colOff>
      <xdr:row>236</xdr:row>
      <xdr:rowOff>99684</xdr:rowOff>
    </xdr:to>
    <xdr:sp macro="" textlink="">
      <xdr:nvSpPr>
        <xdr:cNvPr id="40" name="Retângulo 39">
          <a:extLst>
            <a:ext uri="{FF2B5EF4-FFF2-40B4-BE49-F238E27FC236}">
              <a16:creationId xmlns:a16="http://schemas.microsoft.com/office/drawing/2014/main" id="{D391D04B-4E1C-4256-886B-14E37E51D9C9}"/>
            </a:ext>
          </a:extLst>
        </xdr:cNvPr>
        <xdr:cNvSpPr/>
      </xdr:nvSpPr>
      <xdr:spPr>
        <a:xfrm>
          <a:off x="3167063" y="36369625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214</xdr:row>
      <xdr:rowOff>0</xdr:rowOff>
    </xdr:from>
    <xdr:to>
      <xdr:col>7</xdr:col>
      <xdr:colOff>375478</xdr:colOff>
      <xdr:row>224</xdr:row>
      <xdr:rowOff>99684</xdr:rowOff>
    </xdr:to>
    <xdr:sp macro="" textlink="">
      <xdr:nvSpPr>
        <xdr:cNvPr id="47" name="Retângulo 46">
          <a:extLst>
            <a:ext uri="{FF2B5EF4-FFF2-40B4-BE49-F238E27FC236}">
              <a16:creationId xmlns:a16="http://schemas.microsoft.com/office/drawing/2014/main" id="{BAEEB2DC-8093-43CD-AA71-E2466E3FAE66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214</xdr:row>
      <xdr:rowOff>0</xdr:rowOff>
    </xdr:from>
    <xdr:to>
      <xdr:col>15</xdr:col>
      <xdr:colOff>375478</xdr:colOff>
      <xdr:row>224</xdr:row>
      <xdr:rowOff>99684</xdr:rowOff>
    </xdr:to>
    <xdr:sp macro="" textlink="">
      <xdr:nvSpPr>
        <xdr:cNvPr id="48" name="Retângulo 47">
          <a:extLst>
            <a:ext uri="{FF2B5EF4-FFF2-40B4-BE49-F238E27FC236}">
              <a16:creationId xmlns:a16="http://schemas.microsoft.com/office/drawing/2014/main" id="{7AF3719C-8090-4D17-B396-6DB1F2776022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119</xdr:row>
      <xdr:rowOff>0</xdr:rowOff>
    </xdr:from>
    <xdr:to>
      <xdr:col>7</xdr:col>
      <xdr:colOff>375478</xdr:colOff>
      <xdr:row>129</xdr:row>
      <xdr:rowOff>99684</xdr:rowOff>
    </xdr:to>
    <xdr:sp macro="" textlink="">
      <xdr:nvSpPr>
        <xdr:cNvPr id="49" name="Retângulo 48">
          <a:extLst>
            <a:ext uri="{FF2B5EF4-FFF2-40B4-BE49-F238E27FC236}">
              <a16:creationId xmlns:a16="http://schemas.microsoft.com/office/drawing/2014/main" id="{C09D6DD2-93BF-4860-B842-D0FBEDAAC7CF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103188</xdr:colOff>
      <xdr:row>106</xdr:row>
      <xdr:rowOff>23813</xdr:rowOff>
    </xdr:from>
    <xdr:to>
      <xdr:col>7</xdr:col>
      <xdr:colOff>367541</xdr:colOff>
      <xdr:row>116</xdr:row>
      <xdr:rowOff>123497</xdr:rowOff>
    </xdr:to>
    <xdr:sp macro="" textlink="">
      <xdr:nvSpPr>
        <xdr:cNvPr id="50" name="Retângulo 49">
          <a:extLst>
            <a:ext uri="{FF2B5EF4-FFF2-40B4-BE49-F238E27FC236}">
              <a16:creationId xmlns:a16="http://schemas.microsoft.com/office/drawing/2014/main" id="{8E0E01C1-27A5-4BE9-A6BE-2E877D9DEABB}"/>
            </a:ext>
          </a:extLst>
        </xdr:cNvPr>
        <xdr:cNvSpPr/>
      </xdr:nvSpPr>
      <xdr:spPr>
        <a:xfrm>
          <a:off x="103188" y="22725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23813</xdr:colOff>
      <xdr:row>145</xdr:row>
      <xdr:rowOff>87312</xdr:rowOff>
    </xdr:from>
    <xdr:to>
      <xdr:col>7</xdr:col>
      <xdr:colOff>399291</xdr:colOff>
      <xdr:row>155</xdr:row>
      <xdr:rowOff>186996</xdr:rowOff>
    </xdr:to>
    <xdr:sp macro="" textlink="">
      <xdr:nvSpPr>
        <xdr:cNvPr id="51" name="Retângulo 50">
          <a:extLst>
            <a:ext uri="{FF2B5EF4-FFF2-40B4-BE49-F238E27FC236}">
              <a16:creationId xmlns:a16="http://schemas.microsoft.com/office/drawing/2014/main" id="{C981E1E2-B8F1-47AB-8AF6-1601EFC0AA31}"/>
            </a:ext>
          </a:extLst>
        </xdr:cNvPr>
        <xdr:cNvSpPr/>
      </xdr:nvSpPr>
      <xdr:spPr>
        <a:xfrm>
          <a:off x="134938" y="31535687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7938</xdr:colOff>
      <xdr:row>132</xdr:row>
      <xdr:rowOff>39688</xdr:rowOff>
    </xdr:from>
    <xdr:to>
      <xdr:col>15</xdr:col>
      <xdr:colOff>383416</xdr:colOff>
      <xdr:row>142</xdr:row>
      <xdr:rowOff>139372</xdr:rowOff>
    </xdr:to>
    <xdr:sp macro="" textlink="">
      <xdr:nvSpPr>
        <xdr:cNvPr id="52" name="Retângulo 51">
          <a:extLst>
            <a:ext uri="{FF2B5EF4-FFF2-40B4-BE49-F238E27FC236}">
              <a16:creationId xmlns:a16="http://schemas.microsoft.com/office/drawing/2014/main" id="{8FBE2ECD-D83E-4260-8054-F5AC84C2A72E}"/>
            </a:ext>
          </a:extLst>
        </xdr:cNvPr>
        <xdr:cNvSpPr/>
      </xdr:nvSpPr>
      <xdr:spPr>
        <a:xfrm>
          <a:off x="3175001" y="28638501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103188</xdr:colOff>
      <xdr:row>132</xdr:row>
      <xdr:rowOff>55561</xdr:rowOff>
    </xdr:from>
    <xdr:to>
      <xdr:col>7</xdr:col>
      <xdr:colOff>367541</xdr:colOff>
      <xdr:row>142</xdr:row>
      <xdr:rowOff>155245</xdr:rowOff>
    </xdr:to>
    <xdr:sp macro="" textlink="">
      <xdr:nvSpPr>
        <xdr:cNvPr id="53" name="Retângulo 52">
          <a:extLst>
            <a:ext uri="{FF2B5EF4-FFF2-40B4-BE49-F238E27FC236}">
              <a16:creationId xmlns:a16="http://schemas.microsoft.com/office/drawing/2014/main" id="{AF16D624-F14B-48B3-9CA7-D492E8C0A50A}"/>
            </a:ext>
          </a:extLst>
        </xdr:cNvPr>
        <xdr:cNvSpPr/>
      </xdr:nvSpPr>
      <xdr:spPr>
        <a:xfrm>
          <a:off x="103188" y="28654374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145</xdr:row>
      <xdr:rowOff>0</xdr:rowOff>
    </xdr:from>
    <xdr:to>
      <xdr:col>15</xdr:col>
      <xdr:colOff>375478</xdr:colOff>
      <xdr:row>155</xdr:row>
      <xdr:rowOff>99684</xdr:rowOff>
    </xdr:to>
    <xdr:sp macro="" textlink="">
      <xdr:nvSpPr>
        <xdr:cNvPr id="54" name="Retângulo 53">
          <a:extLst>
            <a:ext uri="{FF2B5EF4-FFF2-40B4-BE49-F238E27FC236}">
              <a16:creationId xmlns:a16="http://schemas.microsoft.com/office/drawing/2014/main" id="{EE02AF9F-75FE-45D7-9FD4-D9FC837ED133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175</xdr:row>
      <xdr:rowOff>0</xdr:rowOff>
    </xdr:from>
    <xdr:to>
      <xdr:col>7</xdr:col>
      <xdr:colOff>375478</xdr:colOff>
      <xdr:row>185</xdr:row>
      <xdr:rowOff>99684</xdr:rowOff>
    </xdr:to>
    <xdr:sp macro="" textlink="">
      <xdr:nvSpPr>
        <xdr:cNvPr id="57" name="Retângulo 56">
          <a:extLst>
            <a:ext uri="{FF2B5EF4-FFF2-40B4-BE49-F238E27FC236}">
              <a16:creationId xmlns:a16="http://schemas.microsoft.com/office/drawing/2014/main" id="{F72D35A8-6A37-4495-908F-E305B50FC6DB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175</xdr:row>
      <xdr:rowOff>0</xdr:rowOff>
    </xdr:from>
    <xdr:to>
      <xdr:col>15</xdr:col>
      <xdr:colOff>375478</xdr:colOff>
      <xdr:row>185</xdr:row>
      <xdr:rowOff>99684</xdr:rowOff>
    </xdr:to>
    <xdr:sp macro="" textlink="">
      <xdr:nvSpPr>
        <xdr:cNvPr id="58" name="Retângulo 57">
          <a:extLst>
            <a:ext uri="{FF2B5EF4-FFF2-40B4-BE49-F238E27FC236}">
              <a16:creationId xmlns:a16="http://schemas.microsoft.com/office/drawing/2014/main" id="{94F92EB6-4E55-410B-A882-CE8CBF812A87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188</xdr:row>
      <xdr:rowOff>0</xdr:rowOff>
    </xdr:from>
    <xdr:to>
      <xdr:col>7</xdr:col>
      <xdr:colOff>375478</xdr:colOff>
      <xdr:row>198</xdr:row>
      <xdr:rowOff>99684</xdr:rowOff>
    </xdr:to>
    <xdr:sp macro="" textlink="">
      <xdr:nvSpPr>
        <xdr:cNvPr id="59" name="Retângulo 58">
          <a:extLst>
            <a:ext uri="{FF2B5EF4-FFF2-40B4-BE49-F238E27FC236}">
              <a16:creationId xmlns:a16="http://schemas.microsoft.com/office/drawing/2014/main" id="{EE9BF223-C25E-40FE-8608-B5446B24E660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188</xdr:row>
      <xdr:rowOff>0</xdr:rowOff>
    </xdr:from>
    <xdr:to>
      <xdr:col>15</xdr:col>
      <xdr:colOff>375478</xdr:colOff>
      <xdr:row>198</xdr:row>
      <xdr:rowOff>99684</xdr:rowOff>
    </xdr:to>
    <xdr:sp macro="" textlink="">
      <xdr:nvSpPr>
        <xdr:cNvPr id="60" name="Retângulo 59">
          <a:extLst>
            <a:ext uri="{FF2B5EF4-FFF2-40B4-BE49-F238E27FC236}">
              <a16:creationId xmlns:a16="http://schemas.microsoft.com/office/drawing/2014/main" id="{05D8D4B3-478C-4290-AD11-6D0A6D5F6988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201</xdr:row>
      <xdr:rowOff>0</xdr:rowOff>
    </xdr:from>
    <xdr:to>
      <xdr:col>7</xdr:col>
      <xdr:colOff>375478</xdr:colOff>
      <xdr:row>211</xdr:row>
      <xdr:rowOff>99684</xdr:rowOff>
    </xdr:to>
    <xdr:sp macro="" textlink="">
      <xdr:nvSpPr>
        <xdr:cNvPr id="61" name="Retângulo 60">
          <a:extLst>
            <a:ext uri="{FF2B5EF4-FFF2-40B4-BE49-F238E27FC236}">
              <a16:creationId xmlns:a16="http://schemas.microsoft.com/office/drawing/2014/main" id="{1004AA92-39D0-4650-B412-981F9C3B0793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201</xdr:row>
      <xdr:rowOff>0</xdr:rowOff>
    </xdr:from>
    <xdr:to>
      <xdr:col>15</xdr:col>
      <xdr:colOff>375478</xdr:colOff>
      <xdr:row>211</xdr:row>
      <xdr:rowOff>99684</xdr:rowOff>
    </xdr:to>
    <xdr:sp macro="" textlink="">
      <xdr:nvSpPr>
        <xdr:cNvPr id="62" name="Retângulo 61">
          <a:extLst>
            <a:ext uri="{FF2B5EF4-FFF2-40B4-BE49-F238E27FC236}">
              <a16:creationId xmlns:a16="http://schemas.microsoft.com/office/drawing/2014/main" id="{1D848E31-318B-4524-B821-D18B2D77BD03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79374</xdr:colOff>
      <xdr:row>27</xdr:row>
      <xdr:rowOff>31749</xdr:rowOff>
    </xdr:from>
    <xdr:to>
      <xdr:col>15</xdr:col>
      <xdr:colOff>343727</xdr:colOff>
      <xdr:row>37</xdr:row>
      <xdr:rowOff>131433</xdr:rowOff>
    </xdr:to>
    <xdr:sp macro="" textlink="">
      <xdr:nvSpPr>
        <xdr:cNvPr id="4" name="Retângulo 3">
          <a:extLst>
            <a:ext uri="{FF2B5EF4-FFF2-40B4-BE49-F238E27FC236}">
              <a16:creationId xmlns:a16="http://schemas.microsoft.com/office/drawing/2014/main" id="{CC8E547D-1299-436E-B97C-98E270827243}"/>
            </a:ext>
          </a:extLst>
        </xdr:cNvPr>
        <xdr:cNvSpPr/>
      </xdr:nvSpPr>
      <xdr:spPr>
        <a:xfrm>
          <a:off x="3135312" y="5754687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23813</xdr:colOff>
      <xdr:row>40</xdr:row>
      <xdr:rowOff>23812</xdr:rowOff>
    </xdr:from>
    <xdr:to>
      <xdr:col>7</xdr:col>
      <xdr:colOff>288166</xdr:colOff>
      <xdr:row>50</xdr:row>
      <xdr:rowOff>123496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65372873-5D78-41E7-B0F0-D05BB1B23913}"/>
            </a:ext>
          </a:extLst>
        </xdr:cNvPr>
        <xdr:cNvSpPr/>
      </xdr:nvSpPr>
      <xdr:spPr>
        <a:xfrm>
          <a:off x="23813" y="8516937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55562</xdr:colOff>
      <xdr:row>40</xdr:row>
      <xdr:rowOff>63500</xdr:rowOff>
    </xdr:from>
    <xdr:to>
      <xdr:col>15</xdr:col>
      <xdr:colOff>319915</xdr:colOff>
      <xdr:row>50</xdr:row>
      <xdr:rowOff>163184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65F7C0F6-9E54-49FF-8E9D-7BEF9937BE7E}"/>
            </a:ext>
          </a:extLst>
        </xdr:cNvPr>
        <xdr:cNvSpPr/>
      </xdr:nvSpPr>
      <xdr:spPr>
        <a:xfrm>
          <a:off x="3111500" y="85566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71438</xdr:colOff>
      <xdr:row>79</xdr:row>
      <xdr:rowOff>47625</xdr:rowOff>
    </xdr:from>
    <xdr:to>
      <xdr:col>7</xdr:col>
      <xdr:colOff>335791</xdr:colOff>
      <xdr:row>89</xdr:row>
      <xdr:rowOff>147309</xdr:rowOff>
    </xdr:to>
    <xdr:sp macro="" textlink="">
      <xdr:nvSpPr>
        <xdr:cNvPr id="7" name="Retângulo 6">
          <a:extLst>
            <a:ext uri="{FF2B5EF4-FFF2-40B4-BE49-F238E27FC236}">
              <a16:creationId xmlns:a16="http://schemas.microsoft.com/office/drawing/2014/main" id="{FAA335F7-A691-42F8-BB93-47F776EB8FCD}"/>
            </a:ext>
          </a:extLst>
        </xdr:cNvPr>
        <xdr:cNvSpPr/>
      </xdr:nvSpPr>
      <xdr:spPr>
        <a:xfrm>
          <a:off x="71438" y="16224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15874</xdr:colOff>
      <xdr:row>53</xdr:row>
      <xdr:rowOff>47625</xdr:rowOff>
    </xdr:from>
    <xdr:to>
      <xdr:col>15</xdr:col>
      <xdr:colOff>391352</xdr:colOff>
      <xdr:row>63</xdr:row>
      <xdr:rowOff>147309</xdr:rowOff>
    </xdr:to>
    <xdr:sp macro="" textlink="">
      <xdr:nvSpPr>
        <xdr:cNvPr id="8" name="Retângulo 7">
          <a:extLst>
            <a:ext uri="{FF2B5EF4-FFF2-40B4-BE49-F238E27FC236}">
              <a16:creationId xmlns:a16="http://schemas.microsoft.com/office/drawing/2014/main" id="{289C36C2-EA51-49F7-8124-69B7ECE36BE7}"/>
            </a:ext>
          </a:extLst>
        </xdr:cNvPr>
        <xdr:cNvSpPr/>
      </xdr:nvSpPr>
      <xdr:spPr>
        <a:xfrm>
          <a:off x="3182937" y="1100931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23813</xdr:colOff>
      <xdr:row>66</xdr:row>
      <xdr:rowOff>79375</xdr:rowOff>
    </xdr:from>
    <xdr:to>
      <xdr:col>7</xdr:col>
      <xdr:colOff>399291</xdr:colOff>
      <xdr:row>76</xdr:row>
      <xdr:rowOff>179059</xdr:rowOff>
    </xdr:to>
    <xdr:sp macro="" textlink="">
      <xdr:nvSpPr>
        <xdr:cNvPr id="9" name="Retângulo 8">
          <a:extLst>
            <a:ext uri="{FF2B5EF4-FFF2-40B4-BE49-F238E27FC236}">
              <a16:creationId xmlns:a16="http://schemas.microsoft.com/office/drawing/2014/main" id="{7B587447-64E6-4A13-B4E9-D33F9EE5C359}"/>
            </a:ext>
          </a:extLst>
        </xdr:cNvPr>
        <xdr:cNvSpPr/>
      </xdr:nvSpPr>
      <xdr:spPr>
        <a:xfrm>
          <a:off x="134938" y="1350168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87313</xdr:colOff>
      <xdr:row>53</xdr:row>
      <xdr:rowOff>63500</xdr:rowOff>
    </xdr:from>
    <xdr:to>
      <xdr:col>7</xdr:col>
      <xdr:colOff>351666</xdr:colOff>
      <xdr:row>63</xdr:row>
      <xdr:rowOff>163184</xdr:rowOff>
    </xdr:to>
    <xdr:sp macro="" textlink="">
      <xdr:nvSpPr>
        <xdr:cNvPr id="10" name="Retângulo 9">
          <a:extLst>
            <a:ext uri="{FF2B5EF4-FFF2-40B4-BE49-F238E27FC236}">
              <a16:creationId xmlns:a16="http://schemas.microsoft.com/office/drawing/2014/main" id="{EDDD1D58-D4C4-4CF3-899E-D236D6AE1436}"/>
            </a:ext>
          </a:extLst>
        </xdr:cNvPr>
        <xdr:cNvSpPr/>
      </xdr:nvSpPr>
      <xdr:spPr>
        <a:xfrm>
          <a:off x="87313" y="1102518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87312</xdr:colOff>
      <xdr:row>66</xdr:row>
      <xdr:rowOff>79374</xdr:rowOff>
    </xdr:from>
    <xdr:to>
      <xdr:col>15</xdr:col>
      <xdr:colOff>351665</xdr:colOff>
      <xdr:row>76</xdr:row>
      <xdr:rowOff>179058</xdr:rowOff>
    </xdr:to>
    <xdr:sp macro="" textlink="">
      <xdr:nvSpPr>
        <xdr:cNvPr id="11" name="Retângulo 10">
          <a:extLst>
            <a:ext uri="{FF2B5EF4-FFF2-40B4-BE49-F238E27FC236}">
              <a16:creationId xmlns:a16="http://schemas.microsoft.com/office/drawing/2014/main" id="{D37AC40A-C144-4316-AA6A-C64B418E886F}"/>
            </a:ext>
          </a:extLst>
        </xdr:cNvPr>
        <xdr:cNvSpPr/>
      </xdr:nvSpPr>
      <xdr:spPr>
        <a:xfrm>
          <a:off x="3143250" y="13501687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63500</xdr:colOff>
      <xdr:row>79</xdr:row>
      <xdr:rowOff>63501</xdr:rowOff>
    </xdr:from>
    <xdr:to>
      <xdr:col>15</xdr:col>
      <xdr:colOff>327853</xdr:colOff>
      <xdr:row>89</xdr:row>
      <xdr:rowOff>163185</xdr:rowOff>
    </xdr:to>
    <xdr:sp macro="" textlink="">
      <xdr:nvSpPr>
        <xdr:cNvPr id="12" name="Retângulo 11">
          <a:extLst>
            <a:ext uri="{FF2B5EF4-FFF2-40B4-BE49-F238E27FC236}">
              <a16:creationId xmlns:a16="http://schemas.microsoft.com/office/drawing/2014/main" id="{7D55FBFF-7FAF-4431-A582-374D705E73A5}"/>
            </a:ext>
          </a:extLst>
        </xdr:cNvPr>
        <xdr:cNvSpPr/>
      </xdr:nvSpPr>
      <xdr:spPr>
        <a:xfrm>
          <a:off x="3119438" y="16240126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15875</xdr:colOff>
      <xdr:row>92</xdr:row>
      <xdr:rowOff>71437</xdr:rowOff>
    </xdr:from>
    <xdr:to>
      <xdr:col>7</xdr:col>
      <xdr:colOff>391353</xdr:colOff>
      <xdr:row>102</xdr:row>
      <xdr:rowOff>171121</xdr:rowOff>
    </xdr:to>
    <xdr:sp macro="" textlink="">
      <xdr:nvSpPr>
        <xdr:cNvPr id="13" name="Retângulo 12">
          <a:extLst>
            <a:ext uri="{FF2B5EF4-FFF2-40B4-BE49-F238E27FC236}">
              <a16:creationId xmlns:a16="http://schemas.microsoft.com/office/drawing/2014/main" id="{E029320B-9FA3-4197-B2C7-9C89945CE570}"/>
            </a:ext>
          </a:extLst>
        </xdr:cNvPr>
        <xdr:cNvSpPr/>
      </xdr:nvSpPr>
      <xdr:spPr>
        <a:xfrm>
          <a:off x="127000" y="191293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79375</xdr:colOff>
      <xdr:row>92</xdr:row>
      <xdr:rowOff>55562</xdr:rowOff>
    </xdr:from>
    <xdr:to>
      <xdr:col>15</xdr:col>
      <xdr:colOff>343728</xdr:colOff>
      <xdr:row>102</xdr:row>
      <xdr:rowOff>155246</xdr:rowOff>
    </xdr:to>
    <xdr:sp macro="" textlink="">
      <xdr:nvSpPr>
        <xdr:cNvPr id="14" name="Retângulo 13">
          <a:extLst>
            <a:ext uri="{FF2B5EF4-FFF2-40B4-BE49-F238E27FC236}">
              <a16:creationId xmlns:a16="http://schemas.microsoft.com/office/drawing/2014/main" id="{ED37ED54-5C6F-41C7-BE26-0F4FB04D6D54}"/>
            </a:ext>
          </a:extLst>
        </xdr:cNvPr>
        <xdr:cNvSpPr/>
      </xdr:nvSpPr>
      <xdr:spPr>
        <a:xfrm>
          <a:off x="3135313" y="1911350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95249</xdr:colOff>
      <xdr:row>105</xdr:row>
      <xdr:rowOff>55563</xdr:rowOff>
    </xdr:from>
    <xdr:to>
      <xdr:col>7</xdr:col>
      <xdr:colOff>359602</xdr:colOff>
      <xdr:row>115</xdr:row>
      <xdr:rowOff>155247</xdr:rowOff>
    </xdr:to>
    <xdr:sp macro="" textlink="">
      <xdr:nvSpPr>
        <xdr:cNvPr id="15" name="Retângulo 14">
          <a:extLst>
            <a:ext uri="{FF2B5EF4-FFF2-40B4-BE49-F238E27FC236}">
              <a16:creationId xmlns:a16="http://schemas.microsoft.com/office/drawing/2014/main" id="{1DD7E76C-709B-4C74-8C95-E0CC2A993C57}"/>
            </a:ext>
          </a:extLst>
        </xdr:cNvPr>
        <xdr:cNvSpPr/>
      </xdr:nvSpPr>
      <xdr:spPr>
        <a:xfrm>
          <a:off x="95249" y="2186781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87313</xdr:colOff>
      <xdr:row>105</xdr:row>
      <xdr:rowOff>31751</xdr:rowOff>
    </xdr:from>
    <xdr:to>
      <xdr:col>15</xdr:col>
      <xdr:colOff>351666</xdr:colOff>
      <xdr:row>115</xdr:row>
      <xdr:rowOff>131435</xdr:rowOff>
    </xdr:to>
    <xdr:sp macro="" textlink="">
      <xdr:nvSpPr>
        <xdr:cNvPr id="16" name="Retângulo 15">
          <a:extLst>
            <a:ext uri="{FF2B5EF4-FFF2-40B4-BE49-F238E27FC236}">
              <a16:creationId xmlns:a16="http://schemas.microsoft.com/office/drawing/2014/main" id="{2B969855-B68E-4AD4-91A4-F4604257A2FE}"/>
            </a:ext>
          </a:extLst>
        </xdr:cNvPr>
        <xdr:cNvSpPr/>
      </xdr:nvSpPr>
      <xdr:spPr>
        <a:xfrm>
          <a:off x="3143251" y="21844001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</xdr:colOff>
      <xdr:row>118</xdr:row>
      <xdr:rowOff>87312</xdr:rowOff>
    </xdr:from>
    <xdr:to>
      <xdr:col>7</xdr:col>
      <xdr:colOff>256416</xdr:colOff>
      <xdr:row>128</xdr:row>
      <xdr:rowOff>186996</xdr:rowOff>
    </xdr:to>
    <xdr:sp macro="" textlink="">
      <xdr:nvSpPr>
        <xdr:cNvPr id="17" name="Retângulo 16">
          <a:extLst>
            <a:ext uri="{FF2B5EF4-FFF2-40B4-BE49-F238E27FC236}">
              <a16:creationId xmlns:a16="http://schemas.microsoft.com/office/drawing/2014/main" id="{A86D6233-F3F3-4239-A12E-1225BBB46C74}"/>
            </a:ext>
          </a:extLst>
        </xdr:cNvPr>
        <xdr:cNvSpPr/>
      </xdr:nvSpPr>
      <xdr:spPr>
        <a:xfrm>
          <a:off x="111126" y="24606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63499</xdr:colOff>
      <xdr:row>118</xdr:row>
      <xdr:rowOff>63500</xdr:rowOff>
    </xdr:from>
    <xdr:to>
      <xdr:col>16</xdr:col>
      <xdr:colOff>26227</xdr:colOff>
      <xdr:row>128</xdr:row>
      <xdr:rowOff>163184</xdr:rowOff>
    </xdr:to>
    <xdr:sp macro="" textlink="">
      <xdr:nvSpPr>
        <xdr:cNvPr id="18" name="Retângulo 17">
          <a:extLst>
            <a:ext uri="{FF2B5EF4-FFF2-40B4-BE49-F238E27FC236}">
              <a16:creationId xmlns:a16="http://schemas.microsoft.com/office/drawing/2014/main" id="{9399A6AC-E66D-4C5F-B54A-9EDC440F4159}"/>
            </a:ext>
          </a:extLst>
        </xdr:cNvPr>
        <xdr:cNvSpPr/>
      </xdr:nvSpPr>
      <xdr:spPr>
        <a:xfrm>
          <a:off x="3238499" y="24582438"/>
          <a:ext cx="3018666" cy="2004684"/>
        </a:xfrm>
        <a:prstGeom prst="rect">
          <a:avLst/>
        </a:prstGeom>
        <a:blipFill dpi="0" rotWithShape="1"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47625</xdr:colOff>
      <xdr:row>130</xdr:row>
      <xdr:rowOff>79375</xdr:rowOff>
    </xdr:from>
    <xdr:to>
      <xdr:col>7</xdr:col>
      <xdr:colOff>304040</xdr:colOff>
      <xdr:row>140</xdr:row>
      <xdr:rowOff>179059</xdr:rowOff>
    </xdr:to>
    <xdr:sp macro="" textlink="">
      <xdr:nvSpPr>
        <xdr:cNvPr id="19" name="Retângulo 18">
          <a:extLst>
            <a:ext uri="{FF2B5EF4-FFF2-40B4-BE49-F238E27FC236}">
              <a16:creationId xmlns:a16="http://schemas.microsoft.com/office/drawing/2014/main" id="{44F799B3-DF95-4C1B-8A9A-483635478EE6}"/>
            </a:ext>
          </a:extLst>
        </xdr:cNvPr>
        <xdr:cNvSpPr/>
      </xdr:nvSpPr>
      <xdr:spPr>
        <a:xfrm>
          <a:off x="158750" y="273208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7937</xdr:colOff>
      <xdr:row>130</xdr:row>
      <xdr:rowOff>71438</xdr:rowOff>
    </xdr:from>
    <xdr:to>
      <xdr:col>16</xdr:col>
      <xdr:colOff>81790</xdr:colOff>
      <xdr:row>140</xdr:row>
      <xdr:rowOff>171122</xdr:rowOff>
    </xdr:to>
    <xdr:sp macro="" textlink="">
      <xdr:nvSpPr>
        <xdr:cNvPr id="20" name="Retângulo 19">
          <a:extLst>
            <a:ext uri="{FF2B5EF4-FFF2-40B4-BE49-F238E27FC236}">
              <a16:creationId xmlns:a16="http://schemas.microsoft.com/office/drawing/2014/main" id="{CF1AF90F-F338-41B8-96C1-9E8B2D9C14D0}"/>
            </a:ext>
          </a:extLst>
        </xdr:cNvPr>
        <xdr:cNvSpPr/>
      </xdr:nvSpPr>
      <xdr:spPr>
        <a:xfrm>
          <a:off x="3294062" y="27312938"/>
          <a:ext cx="3018666" cy="2004684"/>
        </a:xfrm>
        <a:prstGeom prst="rect">
          <a:avLst/>
        </a:prstGeom>
        <a:blipFill dpi="0" rotWithShape="1"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47626</xdr:colOff>
      <xdr:row>142</xdr:row>
      <xdr:rowOff>15875</xdr:rowOff>
    </xdr:from>
    <xdr:to>
      <xdr:col>7</xdr:col>
      <xdr:colOff>304041</xdr:colOff>
      <xdr:row>152</xdr:row>
      <xdr:rowOff>115559</xdr:rowOff>
    </xdr:to>
    <xdr:sp macro="" textlink="">
      <xdr:nvSpPr>
        <xdr:cNvPr id="21" name="Retângulo 20">
          <a:extLst>
            <a:ext uri="{FF2B5EF4-FFF2-40B4-BE49-F238E27FC236}">
              <a16:creationId xmlns:a16="http://schemas.microsoft.com/office/drawing/2014/main" id="{EFE433A2-EF3F-4516-AE33-10F9BC9B0480}"/>
            </a:ext>
          </a:extLst>
        </xdr:cNvPr>
        <xdr:cNvSpPr/>
      </xdr:nvSpPr>
      <xdr:spPr>
        <a:xfrm>
          <a:off x="158751" y="2997993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39688</xdr:colOff>
      <xdr:row>142</xdr:row>
      <xdr:rowOff>63500</xdr:rowOff>
    </xdr:from>
    <xdr:to>
      <xdr:col>17</xdr:col>
      <xdr:colOff>2416</xdr:colOff>
      <xdr:row>152</xdr:row>
      <xdr:rowOff>163184</xdr:rowOff>
    </xdr:to>
    <xdr:sp macro="" textlink="">
      <xdr:nvSpPr>
        <xdr:cNvPr id="22" name="Retângulo 21">
          <a:extLst>
            <a:ext uri="{FF2B5EF4-FFF2-40B4-BE49-F238E27FC236}">
              <a16:creationId xmlns:a16="http://schemas.microsoft.com/office/drawing/2014/main" id="{BB5576E8-E877-41EE-8E7E-AC1BB6132816}"/>
            </a:ext>
          </a:extLst>
        </xdr:cNvPr>
        <xdr:cNvSpPr/>
      </xdr:nvSpPr>
      <xdr:spPr>
        <a:xfrm>
          <a:off x="3325813" y="30027563"/>
          <a:ext cx="3018666" cy="2004684"/>
        </a:xfrm>
        <a:prstGeom prst="rect">
          <a:avLst/>
        </a:prstGeom>
        <a:blipFill dpi="0" rotWithShape="1"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1</xdr:colOff>
      <xdr:row>154</xdr:row>
      <xdr:rowOff>47625</xdr:rowOff>
    </xdr:from>
    <xdr:to>
      <xdr:col>7</xdr:col>
      <xdr:colOff>256416</xdr:colOff>
      <xdr:row>164</xdr:row>
      <xdr:rowOff>147309</xdr:rowOff>
    </xdr:to>
    <xdr:sp macro="" textlink="">
      <xdr:nvSpPr>
        <xdr:cNvPr id="23" name="Retângulo 22">
          <a:extLst>
            <a:ext uri="{FF2B5EF4-FFF2-40B4-BE49-F238E27FC236}">
              <a16:creationId xmlns:a16="http://schemas.microsoft.com/office/drawing/2014/main" id="{DD38D91D-7A49-4468-97DF-F651946D756F}"/>
            </a:ext>
          </a:extLst>
        </xdr:cNvPr>
        <xdr:cNvSpPr/>
      </xdr:nvSpPr>
      <xdr:spPr>
        <a:xfrm>
          <a:off x="111126" y="32734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71438</xdr:colOff>
      <xdr:row>1</xdr:row>
      <xdr:rowOff>31750</xdr:rowOff>
    </xdr:from>
    <xdr:to>
      <xdr:col>7</xdr:col>
      <xdr:colOff>326266</xdr:colOff>
      <xdr:row>11</xdr:row>
      <xdr:rowOff>174625</xdr:rowOff>
    </xdr:to>
    <xdr:sp macro="" textlink="">
      <xdr:nvSpPr>
        <xdr:cNvPr id="26" name="Retângulo 25">
          <a:extLst>
            <a:ext uri="{FF2B5EF4-FFF2-40B4-BE49-F238E27FC236}">
              <a16:creationId xmlns:a16="http://schemas.microsoft.com/office/drawing/2014/main" id="{2D4C6C17-1B08-4B2F-9803-9FF2C7BACBB7}"/>
            </a:ext>
          </a:extLst>
        </xdr:cNvPr>
        <xdr:cNvSpPr/>
      </xdr:nvSpPr>
      <xdr:spPr>
        <a:xfrm>
          <a:off x="71438" y="261938"/>
          <a:ext cx="2890078" cy="2047875"/>
        </a:xfrm>
        <a:prstGeom prst="rect">
          <a:avLst/>
        </a:prstGeom>
        <a:blipFill dpi="0" rotWithShape="1"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95250</xdr:colOff>
      <xdr:row>1</xdr:row>
      <xdr:rowOff>0</xdr:rowOff>
    </xdr:from>
    <xdr:to>
      <xdr:col>15</xdr:col>
      <xdr:colOff>350078</xdr:colOff>
      <xdr:row>11</xdr:row>
      <xdr:rowOff>142875</xdr:rowOff>
    </xdr:to>
    <xdr:sp macro="" textlink="">
      <xdr:nvSpPr>
        <xdr:cNvPr id="27" name="Retângulo 26">
          <a:extLst>
            <a:ext uri="{FF2B5EF4-FFF2-40B4-BE49-F238E27FC236}">
              <a16:creationId xmlns:a16="http://schemas.microsoft.com/office/drawing/2014/main" id="{C3BD2583-DEB1-40AD-ABAA-5CABAB42ED32}"/>
            </a:ext>
          </a:extLst>
        </xdr:cNvPr>
        <xdr:cNvSpPr/>
      </xdr:nvSpPr>
      <xdr:spPr>
        <a:xfrm>
          <a:off x="3270250" y="230188"/>
          <a:ext cx="2890078" cy="2047875"/>
        </a:xfrm>
        <a:prstGeom prst="rect">
          <a:avLst/>
        </a:prstGeom>
        <a:blipFill dpi="0" rotWithShape="1"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103187</xdr:colOff>
      <xdr:row>13</xdr:row>
      <xdr:rowOff>23812</xdr:rowOff>
    </xdr:from>
    <xdr:to>
      <xdr:col>7</xdr:col>
      <xdr:colOff>358015</xdr:colOff>
      <xdr:row>23</xdr:row>
      <xdr:rowOff>166687</xdr:rowOff>
    </xdr:to>
    <xdr:sp macro="" textlink="">
      <xdr:nvSpPr>
        <xdr:cNvPr id="28" name="Retângulo 27">
          <a:extLst>
            <a:ext uri="{FF2B5EF4-FFF2-40B4-BE49-F238E27FC236}">
              <a16:creationId xmlns:a16="http://schemas.microsoft.com/office/drawing/2014/main" id="{0CDD7235-3DA0-4720-9A62-C014FFC55C57}"/>
            </a:ext>
          </a:extLst>
        </xdr:cNvPr>
        <xdr:cNvSpPr/>
      </xdr:nvSpPr>
      <xdr:spPr>
        <a:xfrm>
          <a:off x="103187" y="2825750"/>
          <a:ext cx="2890078" cy="2047875"/>
        </a:xfrm>
        <a:prstGeom prst="rect">
          <a:avLst/>
        </a:prstGeom>
        <a:blipFill dpi="0" rotWithShape="1"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8</xdr:col>
      <xdr:colOff>63500</xdr:colOff>
      <xdr:row>13</xdr:row>
      <xdr:rowOff>119063</xdr:rowOff>
    </xdr:from>
    <xdr:to>
      <xdr:col>15</xdr:col>
      <xdr:colOff>254828</xdr:colOff>
      <xdr:row>24</xdr:row>
      <xdr:rowOff>6350</xdr:rowOff>
    </xdr:to>
    <xdr:sp macro="" textlink="">
      <xdr:nvSpPr>
        <xdr:cNvPr id="29" name="Retângulo 28">
          <a:extLst>
            <a:ext uri="{FF2B5EF4-FFF2-40B4-BE49-F238E27FC236}">
              <a16:creationId xmlns:a16="http://schemas.microsoft.com/office/drawing/2014/main" id="{252104FC-C19E-4245-A7D2-F384E17F5937}"/>
            </a:ext>
          </a:extLst>
        </xdr:cNvPr>
        <xdr:cNvSpPr/>
      </xdr:nvSpPr>
      <xdr:spPr>
        <a:xfrm>
          <a:off x="3119438" y="2921001"/>
          <a:ext cx="2826578" cy="1982787"/>
        </a:xfrm>
        <a:prstGeom prst="rect">
          <a:avLst/>
        </a:prstGeom>
        <a:blipFill dpi="0" rotWithShape="1"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7</xdr:col>
      <xdr:colOff>365953</xdr:colOff>
      <xdr:row>37</xdr:row>
      <xdr:rowOff>99684</xdr:rowOff>
    </xdr:to>
    <xdr:sp macro="" textlink="">
      <xdr:nvSpPr>
        <xdr:cNvPr id="30" name="Retângulo 29">
          <a:extLst>
            <a:ext uri="{FF2B5EF4-FFF2-40B4-BE49-F238E27FC236}">
              <a16:creationId xmlns:a16="http://schemas.microsoft.com/office/drawing/2014/main" id="{11CED098-DE21-4768-9EE7-D0FA09DC5685}"/>
            </a:ext>
          </a:extLst>
        </xdr:cNvPr>
        <xdr:cNvSpPr/>
      </xdr:nvSpPr>
      <xdr:spPr>
        <a:xfrm>
          <a:off x="111125" y="5722938"/>
          <a:ext cx="2890078" cy="2004684"/>
        </a:xfrm>
        <a:prstGeom prst="rect">
          <a:avLst/>
        </a:prstGeom>
        <a:blipFill dpi="0" rotWithShape="1"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200150"/>
    <xdr:pic>
      <xdr:nvPicPr>
        <xdr:cNvPr id="2" name="image1.png">
          <a:extLst>
            <a:ext uri="{FF2B5EF4-FFF2-40B4-BE49-F238E27FC236}">
              <a16:creationId xmlns:a16="http://schemas.microsoft.com/office/drawing/2014/main" id="{20B5ECBB-1599-4423-9C1B-6994A4756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333500" cy="12001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osan\Downloads\BM%2002%20-%20CONSTRU&#199;&#195;O%20DA%20ESCOLA%20DE%20MOGEIRO%206%20SALAS.xlsx" TargetMode="External"/><Relationship Id="rId1" Type="http://schemas.openxmlformats.org/officeDocument/2006/relationships/externalLinkPath" Target="/Users/rosan/Downloads/BM%2002%20-%20CONSTRU&#199;&#195;O%20DA%20ESCOLA%20DE%20MOGEIRO%206%20SALA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\Downloads\BM%2004-%20ESCOLA%20MOGEIRO%206%20salas%2025.08.xlsx" TargetMode="External"/><Relationship Id="rId1" Type="http://schemas.openxmlformats.org/officeDocument/2006/relationships/externalLinkPath" Target="/Users/Lucas%20Regis/Downloads/BM%2004-%20ESCOLA%20MOGEIRO%206%20salas%2025.08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zver\Downloads\BM%2004-%20ESCOLA%20MOGEIRO%206%20salas%2020.08_CZ%20(1)(1).xlsx" TargetMode="External"/><Relationship Id="rId1" Type="http://schemas.openxmlformats.org/officeDocument/2006/relationships/externalLinkPath" Target="/Users/czver/Downloads/BM%2004-%20ESCOLA%20MOGEIRO%206%20salas%2020.08_CZ%20(1)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M 01"/>
      <sheetName val="MC 01"/>
      <sheetName val="ADITIVO 01"/>
      <sheetName val="MF 01"/>
      <sheetName val="CPU do item não planilhado"/>
    </sheetNames>
    <sheetDataSet>
      <sheetData sheetId="0"/>
      <sheetData sheetId="1"/>
      <sheetData sheetId="2"/>
      <sheetData sheetId="3"/>
      <sheetData sheetId="4">
        <row r="11">
          <cell r="K11">
            <v>95.001083849999986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mento Sintético"/>
      <sheetName val="BM 04"/>
      <sheetName val="MEMORIA DE CALCULO"/>
      <sheetName val="FOTOGRÁFICO"/>
      <sheetName val="REAJUSTE"/>
    </sheetNames>
    <sheetDataSet>
      <sheetData sheetId="0">
        <row r="1">
          <cell r="A1"/>
          <cell r="B1"/>
          <cell r="C1"/>
          <cell r="D1" t="str">
            <v>CONSTRUTORA SOUSA CAMPOS: 19.175.657/0001-18</v>
          </cell>
          <cell r="E1" t="str">
            <v>Bancos</v>
          </cell>
          <cell r="F1"/>
          <cell r="G1" t="str">
            <v>B.D.I.</v>
          </cell>
          <cell r="H1"/>
          <cell r="I1" t="str">
            <v>Encargos Sociais</v>
          </cell>
          <cell r="J1"/>
        </row>
        <row r="2">
          <cell r="A2"/>
          <cell r="B2"/>
          <cell r="C2"/>
          <cell r="D2" t="str">
            <v>OBRA: CONTRATAÇÃO DE EMPRESA PARA CONSTRUÇÃO DE UMA ESCOLA COM 06 (SEIS) SALAS DE AULA  NO MUNICÍPIO DE MOGEIRO–PB</v>
          </cell>
          <cell r="E2" t="str">
            <v xml:space="preserve"> SINAPI -    04/2023
SBC - 05/2023
ORSE - 05/2023
SEINFRA - 05/2021
</v>
          </cell>
          <cell r="F2"/>
          <cell r="G2" t="str">
            <v>22,47%</v>
          </cell>
          <cell r="H2"/>
          <cell r="I2" t="str">
            <v>ORSE 111,93 / 71,07                                 SBC 113,45 / -                                               SEINFRA 112,76 / 71,07                                   SINAPI  113,42 / 69,75                                     PROPRIA</v>
          </cell>
          <cell r="J2"/>
        </row>
        <row r="3">
          <cell r="A3" t="str">
            <v>PLANILHA ORÇAMENTÁRIA</v>
          </cell>
          <cell r="B3"/>
          <cell r="C3"/>
          <cell r="D3"/>
          <cell r="E3"/>
          <cell r="F3"/>
          <cell r="G3"/>
          <cell r="H3"/>
          <cell r="I3"/>
          <cell r="J3"/>
        </row>
        <row r="4">
          <cell r="A4" t="str">
            <v>Item</v>
          </cell>
          <cell r="B4" t="str">
            <v>Código</v>
          </cell>
          <cell r="C4" t="str">
            <v>Banco</v>
          </cell>
          <cell r="D4" t="str">
            <v>Descrição</v>
          </cell>
          <cell r="E4" t="str">
            <v>Und</v>
          </cell>
          <cell r="F4" t="str">
            <v>Quant.</v>
          </cell>
          <cell r="G4" t="str">
            <v>Valor Unit</v>
          </cell>
          <cell r="H4" t="str">
            <v>Valor Unit com BDI</v>
          </cell>
          <cell r="I4" t="str">
            <v>Total</v>
          </cell>
          <cell r="J4" t="str">
            <v>Peso (%)</v>
          </cell>
        </row>
        <row r="5">
          <cell r="A5"/>
          <cell r="B5"/>
          <cell r="C5"/>
          <cell r="D5"/>
          <cell r="E5"/>
          <cell r="F5"/>
          <cell r="G5"/>
          <cell r="H5"/>
          <cell r="I5"/>
          <cell r="J5"/>
        </row>
        <row r="6">
          <cell r="A6" t="str">
            <v xml:space="preserve"> 1 </v>
          </cell>
          <cell r="B6"/>
          <cell r="C6"/>
          <cell r="D6" t="str">
            <v>SERVIÇOS PRELIMINARES</v>
          </cell>
          <cell r="E6"/>
          <cell r="F6"/>
          <cell r="G6"/>
          <cell r="H6"/>
          <cell r="I6">
            <v>73151.73</v>
          </cell>
          <cell r="J6">
            <v>5.2213940042826555E-2</v>
          </cell>
        </row>
        <row r="7">
          <cell r="A7" t="str">
            <v>1.1</v>
          </cell>
          <cell r="B7" t="str">
            <v xml:space="preserve"> 51 </v>
          </cell>
          <cell r="C7" t="str">
            <v>ORSE</v>
          </cell>
          <cell r="D7" t="str">
            <v>Placa de obra em chapa aço galvanizado, instalada - Rev 02_01/2022</v>
          </cell>
          <cell r="E7" t="str">
            <v>m²</v>
          </cell>
          <cell r="F7">
            <v>10</v>
          </cell>
          <cell r="G7">
            <v>254.25</v>
          </cell>
          <cell r="H7">
            <v>311.37</v>
          </cell>
          <cell r="I7">
            <v>3113.7</v>
          </cell>
          <cell r="J7">
            <v>2.2224839400428265E-3</v>
          </cell>
        </row>
        <row r="8">
          <cell r="A8" t="str">
            <v>1.2</v>
          </cell>
          <cell r="B8" t="str">
            <v xml:space="preserve"> 98458 </v>
          </cell>
          <cell r="C8" t="str">
            <v>SINAPI</v>
          </cell>
          <cell r="D8" t="str">
            <v>TAPUME COM COMPENSADO DE MADEIRA. AF_05/2018</v>
          </cell>
          <cell r="E8" t="str">
            <v>m²</v>
          </cell>
          <cell r="F8">
            <v>176</v>
          </cell>
          <cell r="G8">
            <v>75.78</v>
          </cell>
          <cell r="H8">
            <v>92.8</v>
          </cell>
          <cell r="I8">
            <v>16332.8</v>
          </cell>
          <cell r="J8">
            <v>1.1657958600999286E-2</v>
          </cell>
        </row>
        <row r="9">
          <cell r="A9" t="str">
            <v>1.3</v>
          </cell>
          <cell r="B9" t="str">
            <v xml:space="preserve"> C2850 </v>
          </cell>
          <cell r="C9" t="str">
            <v>SEINFRA</v>
          </cell>
          <cell r="D9" t="str">
            <v>INSTALAÇÕES PROVISÓRIAS DE LUZ , FORÇA,TELEFONE E LÓGICA</v>
          </cell>
          <cell r="E9" t="str">
            <v>UN</v>
          </cell>
          <cell r="F9">
            <v>1</v>
          </cell>
          <cell r="G9">
            <v>931.54</v>
          </cell>
          <cell r="H9">
            <v>1140.8499999999999</v>
          </cell>
          <cell r="I9">
            <v>1140.8499999999999</v>
          </cell>
          <cell r="J9">
            <v>8.1431120628122774E-4</v>
          </cell>
        </row>
        <row r="10">
          <cell r="A10" t="str">
            <v>1.4</v>
          </cell>
          <cell r="B10" t="str">
            <v xml:space="preserve"> 93214 </v>
          </cell>
          <cell r="C10" t="str">
            <v>SINAPI</v>
          </cell>
          <cell r="D10" t="str">
            <v>EXECUÇÃO DE RESERVATÓRIO ELEVADO DE ÁGUA (1000 LITROS) EM CANTEIRO DE OBRA, APOIADO EM ESTRUTURA DE MADEIRA. AF_02/2016_PA</v>
          </cell>
          <cell r="E10" t="str">
            <v>UN</v>
          </cell>
          <cell r="F10">
            <v>1</v>
          </cell>
          <cell r="G10">
            <v>3683.51</v>
          </cell>
          <cell r="H10">
            <v>4511.1899999999996</v>
          </cell>
          <cell r="I10">
            <v>4511.1899999999996</v>
          </cell>
          <cell r="J10">
            <v>3.2199785867237686E-3</v>
          </cell>
        </row>
        <row r="11">
          <cell r="A11" t="str">
            <v>1.5</v>
          </cell>
          <cell r="B11" t="str">
            <v xml:space="preserve"> C2832 </v>
          </cell>
          <cell r="C11" t="str">
            <v>SEINFRA</v>
          </cell>
          <cell r="D11" t="str">
            <v>FOSSA SÉPTICA E SUMIDOURO  EM ALVENARIA</v>
          </cell>
          <cell r="E11" t="str">
            <v>UN</v>
          </cell>
          <cell r="F11">
            <v>1</v>
          </cell>
          <cell r="G11">
            <v>3590.77</v>
          </cell>
          <cell r="H11">
            <v>4397.6099999999997</v>
          </cell>
          <cell r="I11">
            <v>4397.6099999999997</v>
          </cell>
          <cell r="J11">
            <v>3.1389079229122057E-3</v>
          </cell>
        </row>
        <row r="12">
          <cell r="A12" t="str">
            <v>1.6</v>
          </cell>
          <cell r="B12" t="str">
            <v xml:space="preserve"> 93212 </v>
          </cell>
          <cell r="C12" t="str">
            <v>SINAPI</v>
          </cell>
          <cell r="D12" t="str">
            <v>EXECUÇÃO DE SANITÁRIO E VESTIÁRIO EM CANTEIRO DE OBRA EM CHAPA DE MADEIRA COMPENSADA, NÃO INCLUSO MOBILIÁRIO. AF_02/2016</v>
          </cell>
          <cell r="E12" t="str">
            <v>m²</v>
          </cell>
          <cell r="F12">
            <v>2.52</v>
          </cell>
          <cell r="G12">
            <v>679.04</v>
          </cell>
          <cell r="H12">
            <v>831.62</v>
          </cell>
          <cell r="I12">
            <v>2095.6799999999998</v>
          </cell>
          <cell r="J12">
            <v>1.4958458244111348E-3</v>
          </cell>
        </row>
        <row r="13">
          <cell r="A13" t="str">
            <v>1.7</v>
          </cell>
          <cell r="B13" t="str">
            <v xml:space="preserve"> 93207 </v>
          </cell>
          <cell r="C13" t="str">
            <v>SINAPI</v>
          </cell>
          <cell r="D13" t="str">
            <v>EXECUÇÃO DE ESCRITÓRIO EM CANTEIRO DE OBRA EM CHAPA DE MADEIRA COMPENSADA, NÃO INCLUSO MOBILIÁRIO E EQUIPAMENTOS. AF_02/2016</v>
          </cell>
          <cell r="E13" t="str">
            <v>m²</v>
          </cell>
          <cell r="F13">
            <v>20</v>
          </cell>
          <cell r="G13">
            <v>729.35</v>
          </cell>
          <cell r="H13">
            <v>893.23</v>
          </cell>
          <cell r="I13">
            <v>17864.599999999999</v>
          </cell>
          <cell r="J13">
            <v>1.2751320485367595E-2</v>
          </cell>
        </row>
        <row r="14">
          <cell r="A14" t="str">
            <v>1.8</v>
          </cell>
          <cell r="B14" t="str">
            <v xml:space="preserve"> 93584 </v>
          </cell>
          <cell r="C14" t="str">
            <v>SINAPI</v>
          </cell>
          <cell r="D14" t="str">
            <v>EXECUÇÃO DE DEPÓSITO EM CANTEIRO DE OBRA EM CHAPA DE MADEIRA COMPENSADA, NÃO INCLUSO MOBILIÁRIO. AF_04/2016</v>
          </cell>
          <cell r="E14" t="str">
            <v>m²</v>
          </cell>
          <cell r="F14">
            <v>20</v>
          </cell>
          <cell r="G14">
            <v>598.34</v>
          </cell>
          <cell r="H14">
            <v>732.78</v>
          </cell>
          <cell r="I14">
            <v>14655.6</v>
          </cell>
          <cell r="J14">
            <v>1.0460813704496788E-2</v>
          </cell>
        </row>
        <row r="15">
          <cell r="A15" t="str">
            <v>1.9</v>
          </cell>
          <cell r="B15" t="str">
            <v xml:space="preserve"> C1630 </v>
          </cell>
          <cell r="C15" t="str">
            <v>SEINFRA</v>
          </cell>
          <cell r="D15" t="str">
            <v>LOCAÇÃO DA OBRA - EXECUÇÃO DE GABARITO</v>
          </cell>
          <cell r="E15" t="str">
            <v>m²</v>
          </cell>
          <cell r="F15">
            <v>1129.6400000000001</v>
          </cell>
          <cell r="G15">
            <v>5.67</v>
          </cell>
          <cell r="H15">
            <v>6.94</v>
          </cell>
          <cell r="I15">
            <v>7839.7</v>
          </cell>
          <cell r="J15">
            <v>5.5957887223411851E-3</v>
          </cell>
        </row>
        <row r="16">
          <cell r="A16" t="str">
            <v>1.10</v>
          </cell>
          <cell r="B16" t="str">
            <v xml:space="preserve"> 98525 </v>
          </cell>
          <cell r="C16" t="str">
            <v>SINAPI</v>
          </cell>
          <cell r="D16" t="str">
            <v>LIMPEZA MECANIZADA DE CAMADA VEGETAL, VEGETAÇÃO E PEQUENAS ÁRVORES (DIÂMETRO DE TRONCO MENOR QUE 0,20 M), COM TRATOR DE ESTEIRAS.AF_05/2018</v>
          </cell>
          <cell r="E16" t="str">
            <v>m²</v>
          </cell>
          <cell r="F16">
            <v>4000</v>
          </cell>
          <cell r="G16">
            <v>0.25</v>
          </cell>
          <cell r="H16">
            <v>0.3</v>
          </cell>
          <cell r="I16">
            <v>1200</v>
          </cell>
          <cell r="J16">
            <v>8.5653104925053529E-4</v>
          </cell>
        </row>
        <row r="17">
          <cell r="A17" t="str">
            <v xml:space="preserve"> 2 </v>
          </cell>
          <cell r="B17"/>
          <cell r="C17"/>
          <cell r="D17" t="str">
            <v>MOVIMENTO DE TERRAS PARA FUNDAÇÕES</v>
          </cell>
          <cell r="E17"/>
          <cell r="F17"/>
          <cell r="G17"/>
          <cell r="H17"/>
          <cell r="I17">
            <v>31327.78</v>
          </cell>
          <cell r="J17">
            <v>2.2361013561741614E-2</v>
          </cell>
        </row>
        <row r="18">
          <cell r="A18" t="str">
            <v>2.1</v>
          </cell>
          <cell r="B18" t="str">
            <v xml:space="preserve"> 94319 </v>
          </cell>
          <cell r="C18" t="str">
            <v>SINAPI</v>
          </cell>
          <cell r="D18" t="str">
            <v>ATERRO MANUAL DE VALAS COM SOLO ARGILO-ARENOSO E COMPACTAÇÃO MECANIZADA. AF_05/2016</v>
          </cell>
          <cell r="E18" t="str">
            <v>m³</v>
          </cell>
          <cell r="F18">
            <v>168.5</v>
          </cell>
          <cell r="G18">
            <v>54</v>
          </cell>
          <cell r="H18">
            <v>66.13</v>
          </cell>
          <cell r="I18">
            <v>11142.9</v>
          </cell>
          <cell r="J18">
            <v>7.9535331905781579E-3</v>
          </cell>
        </row>
        <row r="19">
          <cell r="A19" t="str">
            <v>2.2</v>
          </cell>
          <cell r="B19" t="str">
            <v xml:space="preserve"> 93358 </v>
          </cell>
          <cell r="C19" t="str">
            <v>SINAPI</v>
          </cell>
          <cell r="D19" t="str">
            <v>ESCAVAÇÃO MANUAL DE VALA COM PROFUNDIDADE MENOR OU IGUAL A 1,30 M. AF_02/2021</v>
          </cell>
          <cell r="E19" t="str">
            <v>m³</v>
          </cell>
          <cell r="F19">
            <v>94.33</v>
          </cell>
          <cell r="G19">
            <v>56.41</v>
          </cell>
          <cell r="H19">
            <v>69.08</v>
          </cell>
          <cell r="I19">
            <v>6516.31</v>
          </cell>
          <cell r="J19">
            <v>4.6511848679514634E-3</v>
          </cell>
        </row>
        <row r="20">
          <cell r="A20" t="str">
            <v>2.3</v>
          </cell>
          <cell r="B20" t="str">
            <v xml:space="preserve"> 94319 </v>
          </cell>
          <cell r="C20" t="str">
            <v>SINAPI</v>
          </cell>
          <cell r="D20" t="str">
            <v>ATERRO MANUAL DE VALAS COM SOLO ARGILO-ARENOSO E COMPACTAÇÃO MECANIZADA. AF_05/2016</v>
          </cell>
          <cell r="E20" t="str">
            <v>m³</v>
          </cell>
          <cell r="F20">
            <v>184.58</v>
          </cell>
          <cell r="G20">
            <v>54</v>
          </cell>
          <cell r="H20">
            <v>66.13</v>
          </cell>
          <cell r="I20">
            <v>12206.27</v>
          </cell>
          <cell r="J20">
            <v>8.7125410421127758E-3</v>
          </cell>
        </row>
        <row r="21">
          <cell r="A21" t="str">
            <v>2.4</v>
          </cell>
          <cell r="B21" t="str">
            <v xml:space="preserve"> 93382 </v>
          </cell>
          <cell r="C21" t="str">
            <v>SINAPI</v>
          </cell>
          <cell r="D21" t="str">
            <v>REATERRO MANUAL DE VALAS COM COMPACTAÇÃO MECANIZADA. AF_04/2016</v>
          </cell>
          <cell r="E21" t="str">
            <v>m³</v>
          </cell>
          <cell r="F21">
            <v>55.58</v>
          </cell>
          <cell r="G21">
            <v>21.49</v>
          </cell>
          <cell r="H21">
            <v>26.31</v>
          </cell>
          <cell r="I21">
            <v>1462.3</v>
          </cell>
          <cell r="J21">
            <v>1.0437544610992148E-3</v>
          </cell>
        </row>
        <row r="22">
          <cell r="A22" t="str">
            <v xml:space="preserve"> 3 </v>
          </cell>
          <cell r="B22"/>
          <cell r="C22"/>
          <cell r="D22" t="str">
            <v>FUNDAÇÕES</v>
          </cell>
          <cell r="E22"/>
          <cell r="F22"/>
          <cell r="G22"/>
          <cell r="H22"/>
          <cell r="I22">
            <v>110557.96</v>
          </cell>
          <cell r="J22">
            <v>7.8913604568165596E-2</v>
          </cell>
        </row>
        <row r="23">
          <cell r="A23" t="str">
            <v xml:space="preserve"> 3.1 </v>
          </cell>
          <cell r="B23"/>
          <cell r="C23"/>
          <cell r="D23" t="str">
            <v>CONCRETO ARMADO PARA FUNDAÇÕES</v>
          </cell>
          <cell r="E23"/>
          <cell r="F23"/>
          <cell r="G23"/>
          <cell r="H23"/>
          <cell r="I23">
            <v>40612.69</v>
          </cell>
          <cell r="J23">
            <v>2.8988358315488936E-2</v>
          </cell>
        </row>
        <row r="24">
          <cell r="A24" t="str">
            <v>3.1.1</v>
          </cell>
          <cell r="B24" t="str">
            <v xml:space="preserve"> 96619 </v>
          </cell>
          <cell r="C24" t="str">
            <v>SINAPI</v>
          </cell>
          <cell r="D24" t="str">
            <v>LASTRO DE CONCRETO MAGRO, APLICADO EM BLOCOS DE COROAMENTO OU SAPATAS, ESPESSURA DE 5 CM. AF_08/2017</v>
          </cell>
          <cell r="E24" t="str">
            <v>m²</v>
          </cell>
          <cell r="F24">
            <v>61.88</v>
          </cell>
          <cell r="G24">
            <v>22.37</v>
          </cell>
          <cell r="H24">
            <v>27.39</v>
          </cell>
          <cell r="I24">
            <v>1694.89</v>
          </cell>
          <cell r="J24">
            <v>1.2097715917201999E-3</v>
          </cell>
        </row>
        <row r="25">
          <cell r="A25" t="str">
            <v>3.1.2</v>
          </cell>
          <cell r="B25" t="str">
            <v xml:space="preserve"> 96535 </v>
          </cell>
          <cell r="C25" t="str">
            <v>SINAPI</v>
          </cell>
          <cell r="D25" t="str">
            <v>FABRICAÇÃO, MONTAGEM E DESMONTAGEM DE FÔRMA PARA SAPATA, EM MADEIRA SERRADA, E=25 MM, 4 UTILIZAÇÕES. AF_06/2017</v>
          </cell>
          <cell r="E25" t="str">
            <v>m²</v>
          </cell>
          <cell r="F25">
            <v>165.15</v>
          </cell>
          <cell r="G25">
            <v>104.74</v>
          </cell>
          <cell r="H25">
            <v>128.27000000000001</v>
          </cell>
          <cell r="I25">
            <v>21183.79</v>
          </cell>
          <cell r="J25">
            <v>1.5120478229835832E-2</v>
          </cell>
        </row>
        <row r="26">
          <cell r="A26" t="str">
            <v>3.1.3</v>
          </cell>
          <cell r="B26" t="str">
            <v xml:space="preserve"> 92916 </v>
          </cell>
          <cell r="C26" t="str">
            <v>SINAPI</v>
          </cell>
          <cell r="D26" t="str">
            <v>ARMAÇÃO DE ESTRUTURAS DIVERSAS DE CONCRETO ARMADO, EXCETO VIGAS, PILARES, LAJES E FUNDAÇÕES, UTILIZANDO AÇO CA-50 DE 6,3 MM - MONTAGEM. AF_06/2022</v>
          </cell>
          <cell r="E26" t="str">
            <v>KG</v>
          </cell>
          <cell r="F26">
            <v>6.55</v>
          </cell>
          <cell r="G26">
            <v>11.54</v>
          </cell>
          <cell r="H26">
            <v>14.13</v>
          </cell>
          <cell r="I26">
            <v>92.55</v>
          </cell>
          <cell r="J26">
            <v>6.6059957173447543E-5</v>
          </cell>
        </row>
        <row r="27">
          <cell r="A27" t="str">
            <v>3.1.4</v>
          </cell>
          <cell r="B27" t="str">
            <v xml:space="preserve"> 92917 </v>
          </cell>
          <cell r="C27" t="str">
            <v>SINAPI</v>
          </cell>
          <cell r="D27" t="str">
            <v>ARMAÇÃO DE ESTRUTURAS DIVERSAS DE CONCRETO ARMADO, EXCETO VIGAS, PILARES, LAJES E FUNDAÇÕES, UTILIZANDO AÇO CA-50 DE 8,0 MM - MONTAGEM. AF_06/2022</v>
          </cell>
          <cell r="E27" t="str">
            <v>KG</v>
          </cell>
          <cell r="F27">
            <v>32.450000000000003</v>
          </cell>
          <cell r="G27">
            <v>10.65</v>
          </cell>
          <cell r="H27">
            <v>13.04</v>
          </cell>
          <cell r="I27">
            <v>423.14</v>
          </cell>
          <cell r="J27">
            <v>3.0202712348322626E-4</v>
          </cell>
        </row>
        <row r="28">
          <cell r="A28" t="str">
            <v>3.1.5</v>
          </cell>
          <cell r="B28" t="str">
            <v xml:space="preserve"> 92919 </v>
          </cell>
          <cell r="C28" t="str">
            <v>SINAPI</v>
          </cell>
          <cell r="D28" t="str">
            <v>ARMAÇÃO DE ESTRUTURAS DIVERSAS DE CONCRETO ARMADO, EXCETO VIGAS, PILARES, LAJES E FUNDAÇÕES, UTILIZANDO AÇO CA-50 DE 10,0 MM - MONTAGEM. AF_06/2022</v>
          </cell>
          <cell r="E28" t="str">
            <v>KG</v>
          </cell>
          <cell r="F28">
            <v>312.26</v>
          </cell>
          <cell r="G28">
            <v>9.39</v>
          </cell>
          <cell r="H28">
            <v>11.49</v>
          </cell>
          <cell r="I28">
            <v>3587.86</v>
          </cell>
          <cell r="J28">
            <v>2.5609279086366882E-3</v>
          </cell>
        </row>
        <row r="29">
          <cell r="A29" t="str">
            <v>3.1.6</v>
          </cell>
          <cell r="B29" t="str">
            <v xml:space="preserve"> 92921 </v>
          </cell>
          <cell r="C29" t="str">
            <v>SINAPI</v>
          </cell>
          <cell r="D29" t="str">
            <v>ARMAÇÃO DE ESTRUTURAS DIVERSAS DE CONCRETO ARMADO, EXCETO VIGAS, PILARES, LAJES E FUNDAÇÕES, UTILIZANDO AÇO CA-50 DE 12,5 MM - MONTAGEM. AF_06/2022</v>
          </cell>
          <cell r="E29" t="str">
            <v>KG</v>
          </cell>
          <cell r="F29">
            <v>32.64</v>
          </cell>
          <cell r="G29">
            <v>7.82</v>
          </cell>
          <cell r="H29">
            <v>9.57</v>
          </cell>
          <cell r="I29">
            <v>312.36</v>
          </cell>
          <cell r="J29">
            <v>2.2295503211991434E-4</v>
          </cell>
        </row>
        <row r="30">
          <cell r="A30" t="str">
            <v>3.1.7</v>
          </cell>
          <cell r="B30" t="str">
            <v xml:space="preserve"> 92915 </v>
          </cell>
          <cell r="C30" t="str">
            <v>SINAPI</v>
          </cell>
          <cell r="D30" t="str">
            <v>ARMAÇÃO DE ESTRUTURAS DIVERSAS DE CONCRETO ARMADO, EXCETO VIGAS, PILARES, LAJES E FUNDAÇÕES, UTILIZANDO AÇO CA-60 DE 5,0 MM - MONTAGEM. AF_06/2022</v>
          </cell>
          <cell r="E30" t="str">
            <v>KG</v>
          </cell>
          <cell r="F30">
            <v>307.55</v>
          </cell>
          <cell r="G30">
            <v>12.4</v>
          </cell>
          <cell r="H30">
            <v>15.18</v>
          </cell>
          <cell r="I30">
            <v>4668.6000000000004</v>
          </cell>
          <cell r="J30">
            <v>3.3323340471092078E-3</v>
          </cell>
        </row>
        <row r="31">
          <cell r="A31" t="str">
            <v>3.1.8</v>
          </cell>
          <cell r="B31" t="str">
            <v xml:space="preserve"> 96558 </v>
          </cell>
          <cell r="C31" t="str">
            <v>SINAPI</v>
          </cell>
          <cell r="D31" t="str">
            <v>CONCRETAGEM DE SAPATAS, FCK 30 MPA, COM USO DE BOMBA  LANÇAMENTO, ADENSAMENTO E ACABAMENTO. AF_11/2016</v>
          </cell>
          <cell r="E31" t="str">
            <v>m³</v>
          </cell>
          <cell r="F31">
            <v>16.12</v>
          </cell>
          <cell r="G31">
            <v>438.13</v>
          </cell>
          <cell r="H31">
            <v>536.57000000000005</v>
          </cell>
          <cell r="I31">
            <v>8649.5</v>
          </cell>
          <cell r="J31">
            <v>6.173804425410421E-3</v>
          </cell>
        </row>
        <row r="32">
          <cell r="A32" t="str">
            <v xml:space="preserve"> 3.2 </v>
          </cell>
          <cell r="B32"/>
          <cell r="C32"/>
          <cell r="D32" t="str">
            <v>CONCRETO ARMADO PARA FUNDAÇÕES - VIGAS BALDRAMES</v>
          </cell>
          <cell r="E32"/>
          <cell r="F32"/>
          <cell r="G32"/>
          <cell r="H32"/>
          <cell r="I32">
            <v>62144.6</v>
          </cell>
          <cell r="J32">
            <v>4.4357316202712348E-2</v>
          </cell>
        </row>
        <row r="33">
          <cell r="A33" t="str">
            <v>3.2.1</v>
          </cell>
          <cell r="B33" t="str">
            <v xml:space="preserve"> 96536 </v>
          </cell>
          <cell r="C33" t="str">
            <v>SINAPI</v>
          </cell>
          <cell r="D33" t="str">
            <v>FABRICAÇÃO, MONTAGEM E DESMONTAGEM DE FÔRMA PARA VIGA BALDRAME, EM MADEIRA SERRADA, E=25 MM, 4 UTILIZAÇÕES. AF_06/2017</v>
          </cell>
          <cell r="E33" t="str">
            <v>m²</v>
          </cell>
          <cell r="F33">
            <v>463.48</v>
          </cell>
          <cell r="G33">
            <v>52.7</v>
          </cell>
          <cell r="H33">
            <v>64.540000000000006</v>
          </cell>
          <cell r="I33">
            <v>29912.99</v>
          </cell>
          <cell r="J33">
            <v>2.1351170592433976E-2</v>
          </cell>
        </row>
        <row r="34">
          <cell r="A34" t="str">
            <v>3.2.2</v>
          </cell>
          <cell r="B34" t="str">
            <v xml:space="preserve"> 92916 </v>
          </cell>
          <cell r="C34" t="str">
            <v>SINAPI</v>
          </cell>
          <cell r="D34" t="str">
            <v>ARMAÇÃO DE ESTRUTURAS DIVERSAS DE CONCRETO ARMADO, EXCETO VIGAS, PILARES, LAJES E FUNDAÇÕES, UTILIZANDO AÇO CA-50 DE 6,3 MM - MONTAGEM. AF_06/2022</v>
          </cell>
          <cell r="E34" t="str">
            <v>KG</v>
          </cell>
          <cell r="F34">
            <v>0.73</v>
          </cell>
          <cell r="G34">
            <v>11.54</v>
          </cell>
          <cell r="H34">
            <v>14.13</v>
          </cell>
          <cell r="I34">
            <v>10.31</v>
          </cell>
          <cell r="J34">
            <v>7.359029264810849E-6</v>
          </cell>
        </row>
        <row r="35">
          <cell r="A35" t="str">
            <v>3.2.3</v>
          </cell>
          <cell r="B35" t="str">
            <v xml:space="preserve"> 92917 </v>
          </cell>
          <cell r="C35" t="str">
            <v>SINAPI</v>
          </cell>
          <cell r="D35" t="str">
            <v>ARMAÇÃO DE ESTRUTURAS DIVERSAS DE CONCRETO ARMADO, EXCETO VIGAS, PILARES, LAJES E FUNDAÇÕES, UTILIZANDO AÇO CA-50 DE 8,0 MM - MONTAGEM. AF_06/2022</v>
          </cell>
          <cell r="E35" t="str">
            <v>KG</v>
          </cell>
          <cell r="F35">
            <v>829.82</v>
          </cell>
          <cell r="G35">
            <v>10.65</v>
          </cell>
          <cell r="H35">
            <v>13.04</v>
          </cell>
          <cell r="I35">
            <v>10820.85</v>
          </cell>
          <cell r="J35">
            <v>7.7236616702355465E-3</v>
          </cell>
        </row>
        <row r="36">
          <cell r="A36" t="str">
            <v>3.2.4</v>
          </cell>
          <cell r="B36" t="str">
            <v xml:space="preserve"> 92919 </v>
          </cell>
          <cell r="C36" t="str">
            <v>SINAPI</v>
          </cell>
          <cell r="D36" t="str">
            <v>ARMAÇÃO DE ESTRUTURAS DIVERSAS DE CONCRETO ARMADO, EXCETO VIGAS, PILARES, LAJES E FUNDAÇÕES, UTILIZANDO AÇO CA-50 DE 10,0 MM - MONTAGEM. AF_06/2022</v>
          </cell>
          <cell r="E36" t="str">
            <v>KG</v>
          </cell>
          <cell r="F36">
            <v>100.82</v>
          </cell>
          <cell r="G36">
            <v>9.39</v>
          </cell>
          <cell r="H36">
            <v>11.49</v>
          </cell>
          <cell r="I36">
            <v>1158.42</v>
          </cell>
          <cell r="J36">
            <v>8.2685224839400425E-4</v>
          </cell>
        </row>
        <row r="37">
          <cell r="A37" t="str">
            <v>3.2.5</v>
          </cell>
          <cell r="B37" t="str">
            <v xml:space="preserve"> 92915 </v>
          </cell>
          <cell r="C37" t="str">
            <v>SINAPI</v>
          </cell>
          <cell r="D37" t="str">
            <v>ARMAÇÃO DE ESTRUTURAS DIVERSAS DE CONCRETO ARMADO, EXCETO VIGAS, PILARES, LAJES E FUNDAÇÕES, UTILIZANDO AÇO CA-60 DE 5,0 MM - MONTAGEM. AF_06/2022</v>
          </cell>
          <cell r="E37" t="str">
            <v>KG</v>
          </cell>
          <cell r="F37">
            <v>395</v>
          </cell>
          <cell r="G37">
            <v>12.4</v>
          </cell>
          <cell r="H37">
            <v>15.18</v>
          </cell>
          <cell r="I37">
            <v>5996.1</v>
          </cell>
          <cell r="J37">
            <v>4.2798715203426121E-3</v>
          </cell>
        </row>
        <row r="38">
          <cell r="A38" t="str">
            <v>3.2.6</v>
          </cell>
          <cell r="B38" t="str">
            <v xml:space="preserve"> 96557 </v>
          </cell>
          <cell r="C38" t="str">
            <v>SINAPI</v>
          </cell>
          <cell r="D38" t="str">
            <v>CONCRETAGEM DE BLOCOS DE COROAMENTO E VIGAS BALDRAMES, FCK 30 MPA, COM USO DE BOMBA  LANÇAMENTO, ADENSAMENTO E ACABAMENTO. AF_06/2017</v>
          </cell>
          <cell r="E38" t="str">
            <v>m³</v>
          </cell>
          <cell r="F38">
            <v>26.87</v>
          </cell>
          <cell r="G38">
            <v>432.91</v>
          </cell>
          <cell r="H38">
            <v>530.17999999999995</v>
          </cell>
          <cell r="I38">
            <v>14245.93</v>
          </cell>
          <cell r="J38">
            <v>1.0168401142041398E-2</v>
          </cell>
        </row>
        <row r="39">
          <cell r="A39" t="str">
            <v xml:space="preserve"> 3.3 </v>
          </cell>
          <cell r="B39"/>
          <cell r="C39"/>
          <cell r="D39" t="str">
            <v>CONCRETO ARMADO PARA FUNDAÇÕES - BASE CAIXA D'ÁGUA</v>
          </cell>
          <cell r="E39"/>
          <cell r="F39"/>
          <cell r="G39"/>
          <cell r="H39"/>
          <cell r="I39">
            <v>7800.67</v>
          </cell>
          <cell r="J39">
            <v>5.5679300499643109E-3</v>
          </cell>
        </row>
        <row r="40">
          <cell r="A40" t="str">
            <v>3.3.1</v>
          </cell>
          <cell r="B40" t="str">
            <v xml:space="preserve"> 96535 </v>
          </cell>
          <cell r="C40" t="str">
            <v>SINAPI</v>
          </cell>
          <cell r="D40" t="str">
            <v>FABRICAÇÃO, MONTAGEM E DESMONTAGEM DE FÔRMA PARA SAPATA, EM MADEIRA SERRADA, E=25 MM, 4 UTILIZAÇÕES. AF_06/2017</v>
          </cell>
          <cell r="E40" t="str">
            <v>m²</v>
          </cell>
          <cell r="F40">
            <v>5.6</v>
          </cell>
          <cell r="G40">
            <v>104.74</v>
          </cell>
          <cell r="H40">
            <v>128.27000000000001</v>
          </cell>
          <cell r="I40">
            <v>718.31</v>
          </cell>
          <cell r="J40">
            <v>5.1271234832262673E-4</v>
          </cell>
        </row>
        <row r="41">
          <cell r="A41" t="str">
            <v>3.3.2</v>
          </cell>
          <cell r="B41" t="str">
            <v xml:space="preserve"> 92919 </v>
          </cell>
          <cell r="C41" t="str">
            <v>SINAPI</v>
          </cell>
          <cell r="D41" t="str">
            <v>ARMAÇÃO DE ESTRUTURAS DIVERSAS DE CONCRETO ARMADO, EXCETO VIGAS, PILARES, LAJES E FUNDAÇÕES, UTILIZANDO AÇO CA-50 DE 10,0 MM - MONTAGEM. AF_06/2022</v>
          </cell>
          <cell r="E41" t="str">
            <v>KG</v>
          </cell>
          <cell r="F41">
            <v>325</v>
          </cell>
          <cell r="G41">
            <v>9.39</v>
          </cell>
          <cell r="H41">
            <v>11.49</v>
          </cell>
          <cell r="I41">
            <v>3734.25</v>
          </cell>
          <cell r="J41">
            <v>2.6654175588865098E-3</v>
          </cell>
        </row>
        <row r="42">
          <cell r="A42" t="str">
            <v>3.3.3</v>
          </cell>
          <cell r="B42" t="str">
            <v xml:space="preserve"> 92915 </v>
          </cell>
          <cell r="C42" t="str">
            <v>SINAPI</v>
          </cell>
          <cell r="D42" t="str">
            <v>ARMAÇÃO DE ESTRUTURAS DIVERSAS DE CONCRETO ARMADO, EXCETO VIGAS, PILARES, LAJES E FUNDAÇÕES, UTILIZANDO AÇO CA-60 DE 5,0 MM - MONTAGEM. AF_06/2022</v>
          </cell>
          <cell r="E42" t="str">
            <v>KG</v>
          </cell>
          <cell r="F42">
            <v>82</v>
          </cell>
          <cell r="G42">
            <v>12.4</v>
          </cell>
          <cell r="H42">
            <v>15.18</v>
          </cell>
          <cell r="I42">
            <v>1244.76</v>
          </cell>
          <cell r="J42">
            <v>8.8847965738758031E-4</v>
          </cell>
        </row>
        <row r="43">
          <cell r="A43" t="str">
            <v>3.3.4</v>
          </cell>
          <cell r="B43" t="str">
            <v xml:space="preserve"> 96558 </v>
          </cell>
          <cell r="C43" t="str">
            <v>SINAPI</v>
          </cell>
          <cell r="D43" t="str">
            <v>CONCRETAGEM DE SAPATAS, FCK 30 MPA, COM USO DE BOMBA  LANÇAMENTO, ADENSAMENTO E ACABAMENTO. AF_11/2016</v>
          </cell>
          <cell r="E43" t="str">
            <v>m³</v>
          </cell>
          <cell r="F43">
            <v>3.92</v>
          </cell>
          <cell r="G43">
            <v>438.13</v>
          </cell>
          <cell r="H43">
            <v>536.57000000000005</v>
          </cell>
          <cell r="I43">
            <v>2103.35</v>
          </cell>
          <cell r="J43">
            <v>1.5013204853675946E-3</v>
          </cell>
        </row>
        <row r="44">
          <cell r="A44" t="str">
            <v xml:space="preserve"> 4 </v>
          </cell>
          <cell r="B44"/>
          <cell r="C44"/>
          <cell r="D44" t="str">
            <v>SUPERESTRUTURA</v>
          </cell>
          <cell r="E44"/>
          <cell r="F44"/>
          <cell r="G44"/>
          <cell r="H44"/>
          <cell r="I44">
            <v>173762.92</v>
          </cell>
          <cell r="J44">
            <v>0.1240277801570307</v>
          </cell>
        </row>
        <row r="45">
          <cell r="A45" t="str">
            <v xml:space="preserve"> 4.1 </v>
          </cell>
          <cell r="B45"/>
          <cell r="C45"/>
          <cell r="D45" t="str">
            <v>CONCRETO ARMADO - VIGAS</v>
          </cell>
          <cell r="E45"/>
          <cell r="F45"/>
          <cell r="G45"/>
          <cell r="H45"/>
          <cell r="I45">
            <v>65370.7</v>
          </cell>
          <cell r="J45">
            <v>4.6660028551034974E-2</v>
          </cell>
        </row>
        <row r="46">
          <cell r="A46" t="str">
            <v>4.1.1</v>
          </cell>
          <cell r="B46" t="str">
            <v xml:space="preserve"> 92471 </v>
          </cell>
          <cell r="C46" t="str">
            <v>SINAPI</v>
          </cell>
          <cell r="D46" t="str">
            <v>MONTAGEM E DESMONTAGEM DE FÔRMA DE VIGA, ESCORAMENTO COM GARFO DE MADEIRA, PÉ-DIREITO SIMPLES, EM CHAPA DE MADEIRA PLASTIFICADA, 12 UTILIZAÇÕES. AF_09/2020</v>
          </cell>
          <cell r="E46" t="str">
            <v>m²</v>
          </cell>
          <cell r="F46">
            <v>453.62</v>
          </cell>
          <cell r="G46">
            <v>63.48</v>
          </cell>
          <cell r="H46">
            <v>77.739999999999995</v>
          </cell>
          <cell r="I46">
            <v>35264.410000000003</v>
          </cell>
          <cell r="J46">
            <v>2.5170885082084225E-2</v>
          </cell>
        </row>
        <row r="47">
          <cell r="A47" t="str">
            <v>4.1.2</v>
          </cell>
          <cell r="B47" t="str">
            <v xml:space="preserve"> 92760 </v>
          </cell>
          <cell r="C47" t="str">
            <v>SINAPI</v>
          </cell>
          <cell r="D47" t="str">
            <v>ARMAÇÃO DE PILAR OU VIGA DE ESTRUTURA CONVENCIONAL DE CONCRETO ARMADO UTILIZANDO AÇO CA-50 DE 6,3 MM - MONTAGEM. AF_06/2022</v>
          </cell>
          <cell r="E47" t="str">
            <v>KG</v>
          </cell>
          <cell r="F47">
            <v>0.73</v>
          </cell>
          <cell r="G47">
            <v>10.23</v>
          </cell>
          <cell r="H47">
            <v>12.52</v>
          </cell>
          <cell r="I47">
            <v>9.1300000000000008</v>
          </cell>
          <cell r="J47">
            <v>6.516773733047823E-6</v>
          </cell>
        </row>
        <row r="48">
          <cell r="A48" t="str">
            <v>4.1.3</v>
          </cell>
          <cell r="B48" t="str">
            <v xml:space="preserve"> 92761 </v>
          </cell>
          <cell r="C48" t="str">
            <v>SINAPI</v>
          </cell>
          <cell r="D48" t="str">
            <v>ARMAÇÃO DE PILAR OU VIGA DE ESTRUTURA CONVENCIONAL DE CONCRETO ARMADO UTILIZANDO AÇO CA-50 DE 8,0 MM - MONTAGEM. AF_06/2022</v>
          </cell>
          <cell r="E48" t="str">
            <v>KG</v>
          </cell>
          <cell r="F48">
            <v>829.82</v>
          </cell>
          <cell r="G48">
            <v>9.7200000000000006</v>
          </cell>
          <cell r="H48">
            <v>11.9</v>
          </cell>
          <cell r="I48">
            <v>9874.85</v>
          </cell>
          <cell r="J48">
            <v>7.0484296930763742E-3</v>
          </cell>
        </row>
        <row r="49">
          <cell r="A49" t="str">
            <v>4.1.4</v>
          </cell>
          <cell r="B49" t="str">
            <v xml:space="preserve"> 92762 </v>
          </cell>
          <cell r="C49" t="str">
            <v>SINAPI</v>
          </cell>
          <cell r="D49" t="str">
            <v>ARMAÇÃO DE PILAR OU VIGA DE ESTRUTURA CONVENCIONAL DE CONCRETO ARMADO UTILIZANDO AÇO CA-50 DE 10,0 MM - MONTAGEM. AF_06/2022</v>
          </cell>
          <cell r="E49" t="str">
            <v>KG</v>
          </cell>
          <cell r="F49">
            <v>100.82</v>
          </cell>
          <cell r="G49">
            <v>8.75</v>
          </cell>
          <cell r="H49">
            <v>10.71</v>
          </cell>
          <cell r="I49">
            <v>1079.78</v>
          </cell>
          <cell r="J49">
            <v>7.7072091363311916E-4</v>
          </cell>
        </row>
        <row r="50">
          <cell r="A50" t="str">
            <v>4.1.5</v>
          </cell>
          <cell r="B50" t="str">
            <v xml:space="preserve"> 92759 </v>
          </cell>
          <cell r="C50" t="str">
            <v>SINAPI</v>
          </cell>
          <cell r="D50" t="str">
            <v>ARMAÇÃO DE PILAR OU VIGA DE ESTRUTURA CONVENCIONAL DE CONCRETO ARMADO UTILIZANDO AÇO CA-60 DE 5,0 MM - MONTAGEM. AF_06/2022</v>
          </cell>
          <cell r="E50" t="str">
            <v>KG</v>
          </cell>
          <cell r="F50">
            <v>379</v>
          </cell>
          <cell r="G50">
            <v>10.63</v>
          </cell>
          <cell r="H50">
            <v>13.01</v>
          </cell>
          <cell r="I50">
            <v>4930.79</v>
          </cell>
          <cell r="J50">
            <v>3.5194789436117061E-3</v>
          </cell>
        </row>
        <row r="51">
          <cell r="A51" t="str">
            <v>4.1.6</v>
          </cell>
          <cell r="B51" t="str">
            <v xml:space="preserve"> 103675 </v>
          </cell>
          <cell r="C51" t="str">
            <v>SINAPI</v>
          </cell>
          <cell r="D51" t="str">
            <v>CONCRETAGEM DE VIGAS E LAJES, FCK=25 MPA, PARA LAJES MACIÇAS OU NERVURADAS COM USO DE BOMBA - LANÇAMENTO, ADENSAMENTO E ACABAMENTO. AF_02/2022_PS</v>
          </cell>
          <cell r="E51" t="str">
            <v>m³</v>
          </cell>
          <cell r="F51">
            <v>27.81</v>
          </cell>
          <cell r="G51">
            <v>417.27</v>
          </cell>
          <cell r="H51">
            <v>511.03</v>
          </cell>
          <cell r="I51">
            <v>14211.74</v>
          </cell>
          <cell r="J51">
            <v>1.0143997144896503E-2</v>
          </cell>
        </row>
        <row r="52">
          <cell r="A52" t="str">
            <v xml:space="preserve"> 4.2 </v>
          </cell>
          <cell r="B52"/>
          <cell r="C52"/>
          <cell r="D52" t="str">
            <v>CONCRETO ARMADO - LAJES E PILARES</v>
          </cell>
          <cell r="E52"/>
          <cell r="F52"/>
          <cell r="G52"/>
          <cell r="H52"/>
          <cell r="I52">
            <v>40599.879999999997</v>
          </cell>
          <cell r="J52">
            <v>2.8979214846538186E-2</v>
          </cell>
        </row>
        <row r="53">
          <cell r="A53" t="str">
            <v>4.2.1</v>
          </cell>
          <cell r="B53" t="str">
            <v xml:space="preserve"> 92435 </v>
          </cell>
          <cell r="C53" t="str">
            <v>SINAPI</v>
          </cell>
          <cell r="D53" t="str">
            <v>MONTAGEM E DESMONTAGEM DE FÔRMA DE PILARES RETANGULARES E ESTRUTURAS SIMILARES, PÉ-DIREITO SIMPLES, EM CHAPA DE MADEIRA COMPENSADA PLASTIFICADA, 12 UTILIZAÇÕES. AF_09/2020</v>
          </cell>
          <cell r="E53" t="str">
            <v>m²</v>
          </cell>
          <cell r="F53">
            <v>319.27</v>
          </cell>
          <cell r="G53">
            <v>33.28</v>
          </cell>
          <cell r="H53">
            <v>40.75</v>
          </cell>
          <cell r="I53">
            <v>13010.25</v>
          </cell>
          <cell r="J53">
            <v>9.2864025695931478E-3</v>
          </cell>
        </row>
        <row r="54">
          <cell r="A54" t="str">
            <v>4.2.2</v>
          </cell>
          <cell r="B54" t="str">
            <v xml:space="preserve"> 92919 </v>
          </cell>
          <cell r="C54" t="str">
            <v>SINAPI</v>
          </cell>
          <cell r="D54" t="str">
            <v>ARMAÇÃO DE ESTRUTURAS DIVERSAS DE CONCRETO ARMADO, EXCETO VIGAS, PILARES, LAJES E FUNDAÇÕES, UTILIZANDO AÇO CA-50 DE 10,0 MM - MONTAGEM. AF_06/2022</v>
          </cell>
          <cell r="E54" t="str">
            <v>KG</v>
          </cell>
          <cell r="F54">
            <v>1063.9100000000001</v>
          </cell>
          <cell r="G54">
            <v>9.39</v>
          </cell>
          <cell r="H54">
            <v>11.49</v>
          </cell>
          <cell r="I54">
            <v>12224.32</v>
          </cell>
          <cell r="J54">
            <v>8.7254246966452526E-3</v>
          </cell>
        </row>
        <row r="55">
          <cell r="A55" t="str">
            <v>4.2.3</v>
          </cell>
          <cell r="B55" t="str">
            <v xml:space="preserve"> 92921 </v>
          </cell>
          <cell r="C55" t="str">
            <v>SINAPI</v>
          </cell>
          <cell r="D55" t="str">
            <v>ARMAÇÃO DE ESTRUTURAS DIVERSAS DE CONCRETO ARMADO, EXCETO VIGAS, PILARES, LAJES E FUNDAÇÕES, UTILIZANDO AÇO CA-50 DE 12,5 MM - MONTAGEM. AF_06/2022</v>
          </cell>
          <cell r="E55" t="str">
            <v>KG</v>
          </cell>
          <cell r="F55">
            <v>102.27</v>
          </cell>
          <cell r="G55">
            <v>7.82</v>
          </cell>
          <cell r="H55">
            <v>9.57</v>
          </cell>
          <cell r="I55">
            <v>978.72</v>
          </cell>
          <cell r="J55">
            <v>6.9858672376873663E-4</v>
          </cell>
        </row>
        <row r="56">
          <cell r="A56" t="str">
            <v>4.2.4</v>
          </cell>
          <cell r="B56" t="str">
            <v xml:space="preserve"> 92915 </v>
          </cell>
          <cell r="C56" t="str">
            <v>SINAPI</v>
          </cell>
          <cell r="D56" t="str">
            <v>ARMAÇÃO DE ESTRUTURAS DIVERSAS DE CONCRETO ARMADO, EXCETO VIGAS, PILARES, LAJES E FUNDAÇÕES, UTILIZANDO AÇO CA-60 DE 5,0 MM - MONTAGEM. AF_06/2022</v>
          </cell>
          <cell r="E56" t="str">
            <v>KG</v>
          </cell>
          <cell r="F56">
            <v>404.73</v>
          </cell>
          <cell r="G56">
            <v>12.4</v>
          </cell>
          <cell r="H56">
            <v>15.18</v>
          </cell>
          <cell r="I56">
            <v>6143.8</v>
          </cell>
          <cell r="J56">
            <v>4.3852962169878655E-3</v>
          </cell>
        </row>
        <row r="57">
          <cell r="A57" t="str">
            <v>4.2.5</v>
          </cell>
          <cell r="B57" t="str">
            <v xml:space="preserve"> 103672 </v>
          </cell>
          <cell r="C57" t="str">
            <v>SINAPI</v>
          </cell>
          <cell r="D57" t="str">
            <v>CONCRETAGEM DE PILARES, FCK = 25 MPA, COM USO DE BOMBA - LANÇAMENTO, ADENSAMENTO E ACABAMENTO. AF_02/2022_PS</v>
          </cell>
          <cell r="E57" t="str">
            <v>m³</v>
          </cell>
          <cell r="F57">
            <v>16.149999999999999</v>
          </cell>
          <cell r="G57">
            <v>416.75</v>
          </cell>
          <cell r="H57">
            <v>510.39</v>
          </cell>
          <cell r="I57">
            <v>8242.7900000000009</v>
          </cell>
          <cell r="J57">
            <v>5.8835046395431835E-3</v>
          </cell>
        </row>
        <row r="58">
          <cell r="A58" t="str">
            <v xml:space="preserve"> 4.3 </v>
          </cell>
          <cell r="B58"/>
          <cell r="C58"/>
          <cell r="D58" t="str">
            <v>CONCRETO ARMADO - LAJES DE FORRO</v>
          </cell>
          <cell r="E58"/>
          <cell r="F58"/>
          <cell r="G58"/>
          <cell r="H58"/>
          <cell r="I58">
            <v>55985.86</v>
          </cell>
          <cell r="J58">
            <v>3.9961356174161314E-2</v>
          </cell>
        </row>
        <row r="59">
          <cell r="A59" t="str">
            <v>4.3.1</v>
          </cell>
          <cell r="B59" t="str">
            <v xml:space="preserve"> COM-A2023 </v>
          </cell>
          <cell r="C59" t="str">
            <v>Próprio</v>
          </cell>
          <cell r="D59" t="str">
            <v>LAJE PRÉ-MOLDADA P/FORRO, SOBRECARGA 100KG/M², VÃO ATÉ 3,50 M/E = 8CM, COM LAJOTAS E CAPA C/ CONC. FCK=20MPA, 3CM, INTER-EIXO 38CM, C/ESCORAMENTO (REAPR. 3X) E FERRAGEM-PREÇO 02/23 - SINAPI/PB. (M²)</v>
          </cell>
          <cell r="E59" t="str">
            <v>M²</v>
          </cell>
          <cell r="F59">
            <v>647.46</v>
          </cell>
          <cell r="G59">
            <v>70.61</v>
          </cell>
          <cell r="H59">
            <v>86.47</v>
          </cell>
          <cell r="I59">
            <v>55985.86</v>
          </cell>
          <cell r="J59">
            <v>3.9961356174161314E-2</v>
          </cell>
        </row>
        <row r="60">
          <cell r="A60" t="str">
            <v xml:space="preserve"> 4.4 </v>
          </cell>
          <cell r="B60"/>
          <cell r="C60"/>
          <cell r="D60" t="str">
            <v>CONCRTEO ARMADO - VERGAS E CONTRAVERGAS</v>
          </cell>
          <cell r="E60"/>
          <cell r="F60"/>
          <cell r="G60"/>
          <cell r="H60"/>
          <cell r="I60">
            <v>11806.48</v>
          </cell>
          <cell r="J60">
            <v>8.4271805852962171E-3</v>
          </cell>
        </row>
        <row r="61">
          <cell r="A61" t="str">
            <v>4.4.1</v>
          </cell>
          <cell r="B61" t="str">
            <v xml:space="preserve"> 93183 </v>
          </cell>
          <cell r="C61" t="str">
            <v>SINAPI</v>
          </cell>
          <cell r="D61" t="str">
            <v>VERGA PRÉ-MOLDADA PARA JANELAS COM MAIS DE 1,5 M DE VÃO. AF_03/2016</v>
          </cell>
          <cell r="E61" t="str">
            <v>M</v>
          </cell>
          <cell r="F61">
            <v>232</v>
          </cell>
          <cell r="G61">
            <v>41.56</v>
          </cell>
          <cell r="H61">
            <v>50.89</v>
          </cell>
          <cell r="I61">
            <v>11806.48</v>
          </cell>
          <cell r="J61">
            <v>8.4271805852962171E-3</v>
          </cell>
        </row>
        <row r="62">
          <cell r="A62" t="str">
            <v xml:space="preserve"> 5 </v>
          </cell>
          <cell r="B62"/>
          <cell r="C62"/>
          <cell r="D62" t="str">
            <v>SISTEMA DE VEDAÇÃO VERTICAL</v>
          </cell>
          <cell r="E62"/>
          <cell r="F62"/>
          <cell r="G62"/>
          <cell r="H62"/>
          <cell r="I62">
            <v>53575.28</v>
          </cell>
          <cell r="J62">
            <v>3.8240742326909348E-2</v>
          </cell>
        </row>
        <row r="63">
          <cell r="A63" t="str">
            <v>5.1</v>
          </cell>
          <cell r="B63" t="str">
            <v xml:space="preserve"> 103322 </v>
          </cell>
          <cell r="C63" t="str">
            <v>SINAPI</v>
          </cell>
          <cell r="D63" t="str">
            <v>ALVENARIA DE VEDAÇÃO DE BLOCOS CERÂMICOS FURADOS NA VERTICAL DE 9X19X39 CM (ESPESSURA 9 CM) E ARGAMASSA DE ASSENTAMENTO COM PREPARO EM BETONEIRA. AF_12/2021</v>
          </cell>
          <cell r="E63" t="str">
            <v>m²</v>
          </cell>
          <cell r="F63">
            <v>914.03</v>
          </cell>
          <cell r="G63">
            <v>37.1</v>
          </cell>
          <cell r="H63">
            <v>45.43</v>
          </cell>
          <cell r="I63">
            <v>41524.379999999997</v>
          </cell>
          <cell r="J63">
            <v>2.9639100642398285E-2</v>
          </cell>
        </row>
        <row r="64">
          <cell r="A64" t="str">
            <v>5.2</v>
          </cell>
          <cell r="B64" t="str">
            <v xml:space="preserve"> 93202 </v>
          </cell>
          <cell r="C64" t="str">
            <v>SINAPI</v>
          </cell>
          <cell r="D64" t="str">
            <v>FIXAÇÃO (ENCUNHAMENTO) DE ALVENARIA DE VEDAÇÃO COM TIJOLO MACIÇO. AF_03/2016</v>
          </cell>
          <cell r="E64" t="str">
            <v>M</v>
          </cell>
          <cell r="F64">
            <v>295.3</v>
          </cell>
          <cell r="G64">
            <v>17.8</v>
          </cell>
          <cell r="H64">
            <v>21.79</v>
          </cell>
          <cell r="I64">
            <v>6434.58</v>
          </cell>
          <cell r="J64">
            <v>4.5928479657387578E-3</v>
          </cell>
        </row>
        <row r="65">
          <cell r="A65" t="str">
            <v>5.3</v>
          </cell>
          <cell r="B65" t="str">
            <v xml:space="preserve"> C4070 </v>
          </cell>
          <cell r="C65" t="str">
            <v>SEINFRA</v>
          </cell>
          <cell r="D65" t="str">
            <v>DIVISÓRIA DE GRANITO CINZA E=2cm</v>
          </cell>
          <cell r="E65" t="str">
            <v>m²</v>
          </cell>
          <cell r="F65">
            <v>12.92</v>
          </cell>
          <cell r="G65">
            <v>354.95</v>
          </cell>
          <cell r="H65">
            <v>434.7</v>
          </cell>
          <cell r="I65">
            <v>5616.32</v>
          </cell>
          <cell r="J65">
            <v>4.0087937187723056E-3</v>
          </cell>
        </row>
        <row r="66">
          <cell r="A66" t="str">
            <v xml:space="preserve"> 6 </v>
          </cell>
          <cell r="B66"/>
          <cell r="C66"/>
          <cell r="D66" t="str">
            <v>ESQUADRIAS</v>
          </cell>
          <cell r="E66"/>
          <cell r="F66"/>
          <cell r="G66"/>
          <cell r="H66"/>
          <cell r="I66">
            <v>149488.57</v>
          </cell>
          <cell r="J66">
            <v>0.10670133476088509</v>
          </cell>
        </row>
        <row r="67">
          <cell r="A67" t="str">
            <v xml:space="preserve"> 6.1 </v>
          </cell>
          <cell r="B67"/>
          <cell r="C67"/>
          <cell r="D67" t="str">
            <v>PORTAS DE MADEIRA</v>
          </cell>
          <cell r="E67"/>
          <cell r="F67"/>
          <cell r="G67"/>
          <cell r="H67"/>
          <cell r="I67">
            <v>25618.06</v>
          </cell>
          <cell r="J67">
            <v>1.8285553176302642E-2</v>
          </cell>
        </row>
        <row r="68">
          <cell r="A68" t="str">
            <v>6.1.1</v>
          </cell>
          <cell r="B68" t="str">
            <v xml:space="preserve"> 90843 </v>
          </cell>
          <cell r="C68" t="str">
            <v>SINAPI</v>
          </cell>
          <cell r="D68" t="str">
            <v>KIT DE PORTA DE MADEIRA PARA PINTURA, SEMI-OCA (LEVE OU MÉDIA), PADRÃO MÉDIO, 80X210CM, ESPESSURA DE 3,5CM, ITENS INCLUSOS: DOBRADIÇAS, MONTAGEM E INSTALAÇÃO DO BATENTE, FECHADURA COM EXECUÇÃO DO FURO - FORNECIMENTO E INSTALAÇÃO. AF_12/2019</v>
          </cell>
          <cell r="E68" t="str">
            <v>UN</v>
          </cell>
          <cell r="F68">
            <v>7</v>
          </cell>
          <cell r="G68">
            <v>730.3</v>
          </cell>
          <cell r="H68">
            <v>894.39</v>
          </cell>
          <cell r="I68">
            <v>6260.73</v>
          </cell>
          <cell r="J68">
            <v>4.4687580299785871E-3</v>
          </cell>
        </row>
        <row r="69">
          <cell r="A69" t="str">
            <v>6.1.2</v>
          </cell>
          <cell r="B69" t="str">
            <v xml:space="preserve"> 91314 </v>
          </cell>
          <cell r="C69" t="str">
            <v>SINAPI</v>
          </cell>
          <cell r="D69" t="str">
            <v>KIT DE PORTA DE MADEIRA PARA PINTURA, SEMI-OCA (LEVE OU MÉDIA), PADRÃO POPULAR, 80X210CM, ESPESSURA DE 3,5CM, ITENS INCLUSOS: DOBRADIÇAS, MONTAGEM E INSTALAÇÃO DO BATENTE, FECHADURA COM EXECUÇÃO DO FURO - FORNECIMENTO E INSTALAÇÃO. AF_12/2019</v>
          </cell>
          <cell r="E69" t="str">
            <v>UN</v>
          </cell>
          <cell r="F69">
            <v>7</v>
          </cell>
          <cell r="G69">
            <v>606.26</v>
          </cell>
          <cell r="H69">
            <v>742.48</v>
          </cell>
          <cell r="I69">
            <v>5197.3599999999997</v>
          </cell>
          <cell r="J69">
            <v>3.7097501784439687E-3</v>
          </cell>
        </row>
        <row r="70">
          <cell r="A70" t="str">
            <v>6.1.3</v>
          </cell>
          <cell r="B70" t="str">
            <v xml:space="preserve"> 90843 </v>
          </cell>
          <cell r="C70" t="str">
            <v>SINAPI</v>
          </cell>
          <cell r="D70" t="str">
            <v>KIT DE PORTA DE MADEIRA PARA PINTURA, SEMI-OCA (LEVE OU MÉDIA), PADRÃO MÉDIO, 80X210CM, ESPESSURA DE 3,5CM, ITENS INCLUSOS: DOBRADIÇAS, MONTAGEM E INSTALAÇÃO DO BATENTE, FECHADURA COM EXECUÇÃO DO FURO - FORNECIMENTO E INSTALAÇÃO. AF_12/2019</v>
          </cell>
          <cell r="E70" t="str">
            <v>UN</v>
          </cell>
          <cell r="F70">
            <v>2</v>
          </cell>
          <cell r="G70">
            <v>730.3</v>
          </cell>
          <cell r="H70">
            <v>894.39</v>
          </cell>
          <cell r="I70">
            <v>1788.78</v>
          </cell>
          <cell r="J70">
            <v>1.2767880085653104E-3</v>
          </cell>
        </row>
        <row r="71">
          <cell r="A71" t="str">
            <v>6.1.4</v>
          </cell>
          <cell r="B71" t="str">
            <v xml:space="preserve"> COM-B2023 </v>
          </cell>
          <cell r="C71" t="str">
            <v>Próprio</v>
          </cell>
          <cell r="D71" t="str">
            <v>PM4 - PORTA DE ABRIR EM MADEIRA PARA PINTURA 0,6 X 2,1M, ESPESSURA DE 3,5 CM, COM VENEZIANA 0,5 X 0,40M, CONFORMA PROJETO, INCLUSO DOBRADIÇAS, BATENTES E FECHADURAS</v>
          </cell>
          <cell r="E71" t="str">
            <v>UN</v>
          </cell>
          <cell r="F71">
            <v>1</v>
          </cell>
          <cell r="G71">
            <v>986.59</v>
          </cell>
          <cell r="H71">
            <v>1208.27</v>
          </cell>
          <cell r="I71">
            <v>1208.27</v>
          </cell>
          <cell r="J71">
            <v>8.624339757316203E-4</v>
          </cell>
        </row>
        <row r="72">
          <cell r="A72" t="str">
            <v>6.1.5</v>
          </cell>
          <cell r="B72" t="str">
            <v xml:space="preserve"> 100692 </v>
          </cell>
          <cell r="C72" t="str">
            <v>SINAPI</v>
          </cell>
          <cell r="D72" t="str">
            <v>KIT DE PORTA DE MADEIRA TIPO VENEZIANA, 80X210CM (ESPESSURA DE 3CM), PADRÃO POPULAR, ITENS INCLUSOS: DOBRADIÇAS, MONTAGEM E INSTALAÇÃO DE BATENTE, FECHADURA COM EXECUÇÃO DO FURO - FORNECIMENTO E INSTALAÇÃO. AF_12/2019</v>
          </cell>
          <cell r="E72" t="str">
            <v>UN</v>
          </cell>
          <cell r="F72">
            <v>3</v>
          </cell>
          <cell r="G72">
            <v>988.77</v>
          </cell>
          <cell r="H72">
            <v>1210.94</v>
          </cell>
          <cell r="I72">
            <v>3632.82</v>
          </cell>
          <cell r="J72">
            <v>2.593019271948608E-3</v>
          </cell>
        </row>
        <row r="73">
          <cell r="A73" t="str">
            <v>6.1.6</v>
          </cell>
          <cell r="B73" t="str">
            <v xml:space="preserve"> COM-C2023 </v>
          </cell>
          <cell r="C73" t="str">
            <v>Próprio</v>
          </cell>
          <cell r="D73" t="str">
            <v>PM6 - PORTA DE ABRIR EM CHAPA DE MADEIRA COMPENSADA PARA BANHEIRO REVESTIDA COM LAMINADO 0,6 X 1,60 M, INCLUSO MARCO E DOBRADIÇAS. (REF. SINAPI/02/2023, SBC 04/2023)(UN)</v>
          </cell>
          <cell r="E73" t="str">
            <v>UN</v>
          </cell>
          <cell r="F73">
            <v>3</v>
          </cell>
          <cell r="G73">
            <v>1125.06</v>
          </cell>
          <cell r="H73">
            <v>1377.86</v>
          </cell>
          <cell r="I73">
            <v>4133.58</v>
          </cell>
          <cell r="J73">
            <v>2.9504496788008566E-3</v>
          </cell>
        </row>
        <row r="74">
          <cell r="A74" t="str">
            <v>6.1.7</v>
          </cell>
          <cell r="B74" t="str">
            <v xml:space="preserve"> COM-D2023 </v>
          </cell>
          <cell r="C74" t="str">
            <v>Próprio</v>
          </cell>
          <cell r="D74" t="str">
            <v>PM7 - PORTA DE ABRIR EM CHAPA DE MADEIRA COMPENSADA PARA BANHEIRO REVESTIDA COM LAMINADO 0,80 X 1,60 M, INCLUSO MARCO E DOBRADIÇAS</v>
          </cell>
          <cell r="E74" t="str">
            <v>UN</v>
          </cell>
          <cell r="F74">
            <v>2</v>
          </cell>
          <cell r="G74">
            <v>1386.68</v>
          </cell>
          <cell r="H74">
            <v>1698.26</v>
          </cell>
          <cell r="I74">
            <v>3396.52</v>
          </cell>
          <cell r="J74">
            <v>2.4243540328336903E-3</v>
          </cell>
        </row>
        <row r="75">
          <cell r="A75" t="str">
            <v xml:space="preserve"> 6.2 </v>
          </cell>
          <cell r="B75"/>
          <cell r="C75"/>
          <cell r="D75" t="str">
            <v>FERRAGENS E ACESSÓRIOS</v>
          </cell>
          <cell r="E75"/>
          <cell r="F75"/>
          <cell r="G75"/>
          <cell r="H75"/>
          <cell r="I75">
            <v>996.45</v>
          </cell>
          <cell r="J75">
            <v>7.1124197002141328E-4</v>
          </cell>
        </row>
        <row r="76">
          <cell r="A76" t="str">
            <v>6.2.1</v>
          </cell>
          <cell r="B76" t="str">
            <v xml:space="preserve"> 100874 </v>
          </cell>
          <cell r="C76" t="str">
            <v>SINAPI</v>
          </cell>
          <cell r="D76" t="str">
            <v>PUXADOR PARA PCD, FIXADO NA PORTA - FORNECIMENTO E INSTALAÇÃO. AF_01/2020</v>
          </cell>
          <cell r="E76" t="str">
            <v>UN</v>
          </cell>
          <cell r="F76">
            <v>2</v>
          </cell>
          <cell r="G76">
            <v>227.31</v>
          </cell>
          <cell r="H76">
            <v>278.38</v>
          </cell>
          <cell r="I76">
            <v>556.76</v>
          </cell>
          <cell r="J76">
            <v>3.9740185581727336E-4</v>
          </cell>
        </row>
        <row r="77">
          <cell r="A77" t="str">
            <v>6.2.2</v>
          </cell>
          <cell r="B77" t="str">
            <v xml:space="preserve"> COM-E2023 </v>
          </cell>
          <cell r="C77" t="str">
            <v>Próprio</v>
          </cell>
          <cell r="D77" t="str">
            <v>FECHADURA DE EMBUTIR COMPLETA, TIPO TARJETA LIVRE - OCUPADO</v>
          </cell>
          <cell r="E77" t="str">
            <v>UN</v>
          </cell>
          <cell r="F77">
            <v>5</v>
          </cell>
          <cell r="G77">
            <v>39.26</v>
          </cell>
          <cell r="H77">
            <v>48.08</v>
          </cell>
          <cell r="I77">
            <v>240.4</v>
          </cell>
          <cell r="J77">
            <v>1.7159172019985723E-4</v>
          </cell>
        </row>
        <row r="78">
          <cell r="A78" t="str">
            <v>6.2.3</v>
          </cell>
          <cell r="B78" t="str">
            <v xml:space="preserve"> COM-F2023 </v>
          </cell>
          <cell r="C78" t="str">
            <v>Próprio</v>
          </cell>
          <cell r="D78" t="str">
            <v>CHAPA MATÁLICA (ALUMÍNIO) 0,80M 0,40 MM, E= 1MM PARA AS PORTAS</v>
          </cell>
          <cell r="E78" t="str">
            <v>M²</v>
          </cell>
          <cell r="F78">
            <v>2.88</v>
          </cell>
          <cell r="G78">
            <v>56.51</v>
          </cell>
          <cell r="H78">
            <v>69.2</v>
          </cell>
          <cell r="I78">
            <v>199.29</v>
          </cell>
          <cell r="J78">
            <v>1.4224839400428266E-4</v>
          </cell>
        </row>
        <row r="79">
          <cell r="A79" t="str">
            <v xml:space="preserve"> 6.3 </v>
          </cell>
          <cell r="B79"/>
          <cell r="C79"/>
          <cell r="D79" t="str">
            <v>PORTAS DE ALUMÍNIO</v>
          </cell>
          <cell r="E79"/>
          <cell r="F79"/>
          <cell r="G79"/>
          <cell r="H79"/>
          <cell r="I79">
            <v>461.96</v>
          </cell>
          <cell r="J79">
            <v>3.2973590292648109E-4</v>
          </cell>
        </row>
        <row r="80">
          <cell r="A80" t="str">
            <v>6.3.1</v>
          </cell>
          <cell r="B80" t="str">
            <v xml:space="preserve"> 11947 </v>
          </cell>
          <cell r="C80" t="str">
            <v>ORSE</v>
          </cell>
          <cell r="D80" t="str">
            <v>Porta em alumínio, cor N/P/B, tipo veneziana (até 50%) e vidro (até 50%), de abrir ou correr, completa, inclusive caixilhos, dobradiças ou roldanas, fechadura exclusive vidro</v>
          </cell>
          <cell r="E80" t="str">
            <v>m²</v>
          </cell>
          <cell r="F80">
            <v>1.68</v>
          </cell>
          <cell r="G80">
            <v>224.53</v>
          </cell>
          <cell r="H80">
            <v>274.98</v>
          </cell>
          <cell r="I80">
            <v>461.96</v>
          </cell>
          <cell r="J80">
            <v>3.2973590292648109E-4</v>
          </cell>
        </row>
        <row r="81">
          <cell r="A81" t="str">
            <v xml:space="preserve"> 6.4 </v>
          </cell>
          <cell r="B81"/>
          <cell r="C81"/>
          <cell r="D81" t="str">
            <v>JANELAS DE ALUMÍNIO</v>
          </cell>
          <cell r="E81"/>
          <cell r="F81"/>
          <cell r="G81"/>
          <cell r="H81"/>
          <cell r="I81">
            <v>120131.96</v>
          </cell>
          <cell r="J81">
            <v>8.5747294789436115E-2</v>
          </cell>
        </row>
        <row r="82">
          <cell r="A82" t="str">
            <v>6.4.1</v>
          </cell>
          <cell r="B82" t="str">
            <v xml:space="preserve"> 94569 </v>
          </cell>
          <cell r="C82" t="str">
            <v>SINAPI</v>
          </cell>
          <cell r="D82" t="str">
            <v>JANELA DE ALUMÍNIO TIPO MAXIM-AR, COM VIDROS, BATENTE E FERRAGENS. EXCLUSIVE ALIZAR, ACABAMENTO E CONTRAMARCO. FORNECIMENTO E INSTALAÇÃO. AF_12/2019</v>
          </cell>
          <cell r="E82" t="str">
            <v>m²</v>
          </cell>
          <cell r="F82">
            <v>0.24</v>
          </cell>
          <cell r="G82">
            <v>1057.71</v>
          </cell>
          <cell r="H82">
            <v>1295.3699999999999</v>
          </cell>
          <cell r="I82">
            <v>310.88</v>
          </cell>
          <cell r="J82">
            <v>2.2189864382583869E-4</v>
          </cell>
        </row>
        <row r="83">
          <cell r="A83" t="str">
            <v>6.4.2</v>
          </cell>
          <cell r="B83" t="str">
            <v xml:space="preserve"> 94569 </v>
          </cell>
          <cell r="C83" t="str">
            <v>SINAPI</v>
          </cell>
          <cell r="D83" t="str">
            <v>JANELA DE ALUMÍNIO TIPO MAXIM-AR, COM VIDROS, BATENTE E FERRAGENS. EXCLUSIVE ALIZAR, ACABAMENTO E CONTRAMARCO. FORNECIMENTO E INSTALAÇÃO. AF_12/2019</v>
          </cell>
          <cell r="E83" t="str">
            <v>m²</v>
          </cell>
          <cell r="F83">
            <v>1.08</v>
          </cell>
          <cell r="G83">
            <v>1057.71</v>
          </cell>
          <cell r="H83">
            <v>1295.3699999999999</v>
          </cell>
          <cell r="I83">
            <v>1398.99</v>
          </cell>
          <cell r="J83">
            <v>9.9856531049250527E-4</v>
          </cell>
        </row>
        <row r="84">
          <cell r="A84" t="str">
            <v>6.4.3</v>
          </cell>
          <cell r="B84" t="str">
            <v xml:space="preserve"> 94569 </v>
          </cell>
          <cell r="C84" t="str">
            <v>SINAPI</v>
          </cell>
          <cell r="D84" t="str">
            <v>JANELA DE ALUMÍNIO TIPO MAXIM-AR, COM VIDROS, BATENTE E FERRAGENS. EXCLUSIVE ALIZAR, ACABAMENTO E CONTRAMARCO. FORNECIMENTO E INSTALAÇÃO. AF_12/2019</v>
          </cell>
          <cell r="E84" t="str">
            <v>m²</v>
          </cell>
          <cell r="F84">
            <v>3.2</v>
          </cell>
          <cell r="G84">
            <v>1057.71</v>
          </cell>
          <cell r="H84">
            <v>1295.3699999999999</v>
          </cell>
          <cell r="I84">
            <v>4145.18</v>
          </cell>
          <cell r="J84">
            <v>2.9587294789436116E-3</v>
          </cell>
        </row>
        <row r="85">
          <cell r="A85" t="str">
            <v>6.4.4</v>
          </cell>
          <cell r="B85" t="str">
            <v xml:space="preserve"> 94570 </v>
          </cell>
          <cell r="C85" t="str">
            <v>SINAPI</v>
          </cell>
          <cell r="D85" t="str">
            <v>JANELA DE ALUMÍNIO DE CORRER COM 2 FOLHAS PARA VIDROS, COM VIDROS, BATENTE, ACABAMENTO COM ACETATO OU BRILHANTE E FERRAGENS. EXCLUSIVE ALIZAR E CONTRAMARCO. FORNECIMENTO E INSTALAÇÃO. AF_12/2019</v>
          </cell>
          <cell r="E85" t="str">
            <v>m²</v>
          </cell>
          <cell r="F85">
            <v>0.6</v>
          </cell>
          <cell r="G85">
            <v>562.35</v>
          </cell>
          <cell r="H85">
            <v>688.71</v>
          </cell>
          <cell r="I85">
            <v>413.22</v>
          </cell>
          <cell r="J85">
            <v>2.9494646680942182E-4</v>
          </cell>
        </row>
        <row r="86">
          <cell r="A86" t="str">
            <v>6.4.5</v>
          </cell>
          <cell r="B86" t="str">
            <v xml:space="preserve"> 94570 </v>
          </cell>
          <cell r="C86" t="str">
            <v>SINAPI</v>
          </cell>
          <cell r="D86" t="str">
            <v>JANELA DE ALUMÍNIO DE CORRER COM 2 FOLHAS PARA VIDROS, COM VIDROS, BATENTE, ACABAMENTO COM ACETATO OU BRILHANTE E FERRAGENS. EXCLUSIVE ALIZAR E CONTRAMARCO. FORNECIMENTO E INSTALAÇÃO. AF_12/2019</v>
          </cell>
          <cell r="E86" t="str">
            <v>m²</v>
          </cell>
          <cell r="F86">
            <v>6</v>
          </cell>
          <cell r="G86">
            <v>562.35</v>
          </cell>
          <cell r="H86">
            <v>688.71</v>
          </cell>
          <cell r="I86">
            <v>4132.26</v>
          </cell>
          <cell r="J86">
            <v>2.9495074946466809E-3</v>
          </cell>
        </row>
        <row r="87">
          <cell r="A87" t="str">
            <v>6.4.6</v>
          </cell>
          <cell r="B87" t="str">
            <v xml:space="preserve"> 94569 </v>
          </cell>
          <cell r="C87" t="str">
            <v>SINAPI</v>
          </cell>
          <cell r="D87" t="str">
            <v>JANELA DE ALUMÍNIO TIPO MAXIM-AR, COM VIDROS, BATENTE E FERRAGENS. EXCLUSIVE ALIZAR, ACABAMENTO E CONTRAMARCO. FORNECIMENTO E INSTALAÇÃO. AF_12/2019</v>
          </cell>
          <cell r="E87" t="str">
            <v>m²</v>
          </cell>
          <cell r="F87">
            <v>3.3</v>
          </cell>
          <cell r="G87">
            <v>1057.71</v>
          </cell>
          <cell r="H87">
            <v>1295.3699999999999</v>
          </cell>
          <cell r="I87">
            <v>4274.72</v>
          </cell>
          <cell r="J87">
            <v>3.0511920057102069E-3</v>
          </cell>
        </row>
        <row r="88">
          <cell r="A88" t="str">
            <v>6.4.7</v>
          </cell>
          <cell r="B88" t="str">
            <v xml:space="preserve"> 94569 </v>
          </cell>
          <cell r="C88" t="str">
            <v>SINAPI</v>
          </cell>
          <cell r="D88" t="str">
            <v>JANELA DE ALUMÍNIO TIPO MAXIM-AR, COM VIDROS, BATENTE E FERRAGENS. EXCLUSIVE ALIZAR, ACABAMENTO E CONTRAMARCO. FORNECIMENTO E INSTALAÇÃO. AF_12/2019</v>
          </cell>
          <cell r="E88" t="str">
            <v>m²</v>
          </cell>
          <cell r="F88">
            <v>8.8000000000000007</v>
          </cell>
          <cell r="G88">
            <v>1057.71</v>
          </cell>
          <cell r="H88">
            <v>1295.3699999999999</v>
          </cell>
          <cell r="I88">
            <v>11399.25</v>
          </cell>
          <cell r="J88">
            <v>8.1365096359743046E-3</v>
          </cell>
        </row>
        <row r="89">
          <cell r="A89" t="str">
            <v>6.4.8</v>
          </cell>
          <cell r="B89" t="str">
            <v xml:space="preserve"> 94569 </v>
          </cell>
          <cell r="C89" t="str">
            <v>SINAPI</v>
          </cell>
          <cell r="D89" t="str">
            <v>JANELA DE ALUMÍNIO TIPO MAXIM-AR, COM VIDROS, BATENTE E FERRAGENS. EXCLUSIVE ALIZAR, ACABAMENTO E CONTRAMARCO. FORNECIMENTO E INSTALAÇÃO. AF_12/2019</v>
          </cell>
          <cell r="E89" t="str">
            <v>m²</v>
          </cell>
          <cell r="F89">
            <v>67.760000000000005</v>
          </cell>
          <cell r="G89">
            <v>1057.71</v>
          </cell>
          <cell r="H89">
            <v>1295.3699999999999</v>
          </cell>
          <cell r="I89">
            <v>87774.27</v>
          </cell>
          <cell r="J89">
            <v>6.2651156316916493E-2</v>
          </cell>
        </row>
        <row r="90">
          <cell r="A90" t="str">
            <v>6.4.9</v>
          </cell>
          <cell r="B90" t="str">
            <v xml:space="preserve"> C1516 </v>
          </cell>
          <cell r="C90" t="str">
            <v>SEINFRA</v>
          </cell>
          <cell r="D90" t="str">
            <v>JANELA DE ALUMÍNIO, TIPO VENEZIANA</v>
          </cell>
          <cell r="E90" t="str">
            <v>m²</v>
          </cell>
          <cell r="F90">
            <v>6.48</v>
          </cell>
          <cell r="G90">
            <v>395.17</v>
          </cell>
          <cell r="H90">
            <v>483.96</v>
          </cell>
          <cell r="I90">
            <v>3136.06</v>
          </cell>
          <cell r="J90">
            <v>2.2384439685938615E-3</v>
          </cell>
        </row>
        <row r="91">
          <cell r="A91" t="str">
            <v>6.4.10</v>
          </cell>
          <cell r="B91" t="str">
            <v xml:space="preserve"> 100674 </v>
          </cell>
          <cell r="C91" t="str">
            <v>SINAPI</v>
          </cell>
          <cell r="D91" t="str">
            <v>JANELA FIXA DE ALUMÍNIO PARA VIDRO, COM VIDRO, BATENTE E FERRAGENS. EXCLUSIVE ACABAMENTO, ALIZAR E CONTRAMARCO. FORNECIMENTO E INSTALAÇÃO. AF_12/2019</v>
          </cell>
          <cell r="E91" t="str">
            <v>m²</v>
          </cell>
          <cell r="F91">
            <v>1.98</v>
          </cell>
          <cell r="G91">
            <v>1199.05</v>
          </cell>
          <cell r="H91">
            <v>1468.47</v>
          </cell>
          <cell r="I91">
            <v>2907.57</v>
          </cell>
          <cell r="J91">
            <v>2.075353319057816E-3</v>
          </cell>
        </row>
        <row r="92">
          <cell r="A92" t="str">
            <v>6.4.11</v>
          </cell>
          <cell r="B92" t="str">
            <v xml:space="preserve"> 1897 </v>
          </cell>
          <cell r="C92" t="str">
            <v>ORSE</v>
          </cell>
          <cell r="D92" t="str">
            <v>Tela de nylon tipo mosquiteiro com moldura em madeira, para esquadrias - Rev 01</v>
          </cell>
          <cell r="E92" t="str">
            <v>m²</v>
          </cell>
          <cell r="F92">
            <v>4.2</v>
          </cell>
          <cell r="G92">
            <v>46.58</v>
          </cell>
          <cell r="H92">
            <v>57.04</v>
          </cell>
          <cell r="I92">
            <v>239.56</v>
          </cell>
          <cell r="J92">
            <v>1.7099214846538188E-4</v>
          </cell>
        </row>
        <row r="93">
          <cell r="A93" t="str">
            <v xml:space="preserve"> 6.5 </v>
          </cell>
          <cell r="B93"/>
          <cell r="C93"/>
          <cell r="D93" t="str">
            <v>VIDROS</v>
          </cell>
          <cell r="E93"/>
          <cell r="F93"/>
          <cell r="G93"/>
          <cell r="H93"/>
          <cell r="I93">
            <v>2280.14</v>
          </cell>
          <cell r="J93">
            <v>1.6275089221984298E-3</v>
          </cell>
        </row>
        <row r="94">
          <cell r="A94" t="str">
            <v>6.5.1</v>
          </cell>
          <cell r="B94" t="str">
            <v xml:space="preserve"> C4949 </v>
          </cell>
          <cell r="C94" t="str">
            <v>SEINFRA</v>
          </cell>
          <cell r="D94" t="str">
            <v>VIDRO TEMPERADO INCOLOR C/MASSA E=6MM, COLOCADO</v>
          </cell>
          <cell r="E94" t="str">
            <v>m²</v>
          </cell>
          <cell r="F94">
            <v>1.98</v>
          </cell>
          <cell r="G94">
            <v>196.85</v>
          </cell>
          <cell r="H94">
            <v>241.08</v>
          </cell>
          <cell r="I94">
            <v>477.33</v>
          </cell>
          <cell r="J94">
            <v>3.4070663811563171E-4</v>
          </cell>
        </row>
        <row r="95">
          <cell r="A95" t="str">
            <v>6.5.2</v>
          </cell>
          <cell r="B95" t="str">
            <v xml:space="preserve"> C4835 </v>
          </cell>
          <cell r="C95" t="str">
            <v>SEINFRA</v>
          </cell>
          <cell r="D95" t="str">
            <v>ESPELHO CRISTAL, ESPESSURA 4MM, COM PARAFUSOS DE FIXAÇÃO, SEM MOLDURA</v>
          </cell>
          <cell r="E95" t="str">
            <v>m²</v>
          </cell>
          <cell r="F95">
            <v>4.4000000000000004</v>
          </cell>
          <cell r="G95">
            <v>334.56</v>
          </cell>
          <cell r="H95">
            <v>409.73</v>
          </cell>
          <cell r="I95">
            <v>1802.81</v>
          </cell>
          <cell r="J95">
            <v>1.286802284082798E-3</v>
          </cell>
        </row>
        <row r="96">
          <cell r="A96" t="str">
            <v xml:space="preserve"> 7 </v>
          </cell>
          <cell r="B96"/>
          <cell r="C96"/>
          <cell r="D96" t="str">
            <v>SISTEMAS DE COBERTURA</v>
          </cell>
          <cell r="E96"/>
          <cell r="F96"/>
          <cell r="G96"/>
          <cell r="H96"/>
          <cell r="I96">
            <v>219581.14</v>
          </cell>
          <cell r="J96">
            <v>0.15673172019985723</v>
          </cell>
        </row>
        <row r="97">
          <cell r="A97" t="str">
            <v>7.1</v>
          </cell>
          <cell r="B97" t="str">
            <v xml:space="preserve"> 92550 </v>
          </cell>
          <cell r="C97" t="str">
            <v>SINAPI</v>
          </cell>
          <cell r="D97" t="str">
            <v>FABRICAÇÃO E INSTALAÇÃO DE TESOURA INTEIRA EM MADEIRA NÃO APARELHADA, VÃO DE 8 M, PARA TELHA CERÂMICA OU DE CONCRETO, INCLUSO IÇAMENTO. AF_07/2019</v>
          </cell>
          <cell r="E97" t="str">
            <v>UN</v>
          </cell>
          <cell r="F97">
            <v>23</v>
          </cell>
          <cell r="G97">
            <v>1418.51</v>
          </cell>
          <cell r="H97">
            <v>1737.24</v>
          </cell>
          <cell r="I97">
            <v>39956.519999999997</v>
          </cell>
          <cell r="J97">
            <v>2.852E-2</v>
          </cell>
        </row>
        <row r="98">
          <cell r="A98" t="str">
            <v>7.2</v>
          </cell>
          <cell r="B98" t="str">
            <v xml:space="preserve"> 92549 </v>
          </cell>
          <cell r="C98" t="str">
            <v>SINAPI</v>
          </cell>
          <cell r="D98" t="str">
            <v>FABRICAÇÃO E INSTALAÇÃO DE TESOURA INTEIRA EM MADEIRA NÃO APARELHADA, VÃO DE 7 M, PARA TELHA CERÂMICA OU DE CONCRETO, INCLUSO IÇAMENTO. AF_07/2019</v>
          </cell>
          <cell r="E98" t="str">
            <v>UN</v>
          </cell>
          <cell r="F98">
            <v>10</v>
          </cell>
          <cell r="G98">
            <v>1151.54</v>
          </cell>
          <cell r="H98">
            <v>1410.29</v>
          </cell>
          <cell r="I98">
            <v>14102.9</v>
          </cell>
          <cell r="J98">
            <v>1.0066309778729479E-2</v>
          </cell>
        </row>
        <row r="99">
          <cell r="A99" t="str">
            <v>7.3</v>
          </cell>
          <cell r="B99" t="str">
            <v xml:space="preserve"> 92548 </v>
          </cell>
          <cell r="C99" t="str">
            <v>SINAPI</v>
          </cell>
          <cell r="D99" t="str">
            <v>FABRICAÇÃO E INSTALAÇÃO DE TESOURA INTEIRA EM MADEIRA NÃO APARELHADA, VÃO DE 6 M, PARA TELHA CERÂMICA OU DE CONCRETO, INCLUSO IÇAMENTO. AF_07/2019</v>
          </cell>
          <cell r="E99" t="str">
            <v>UN</v>
          </cell>
          <cell r="F99">
            <v>6</v>
          </cell>
          <cell r="G99">
            <v>916.15</v>
          </cell>
          <cell r="H99">
            <v>1122</v>
          </cell>
          <cell r="I99">
            <v>6732</v>
          </cell>
          <cell r="J99">
            <v>4.8051391862955033E-3</v>
          </cell>
        </row>
        <row r="100">
          <cell r="A100" t="str">
            <v>7.4</v>
          </cell>
          <cell r="B100" t="str">
            <v xml:space="preserve"> 92584 </v>
          </cell>
          <cell r="C100" t="str">
            <v>SINAPI</v>
          </cell>
          <cell r="D100" t="str">
            <v>FABRICAÇÃO E INSTALAÇÃO DE TESOURA INTEIRA EM AÇO, VÃO DE 4 M, PARA TELHA CERÂMICA OU DE CONCRETO, INCLUSO IÇAMENTO. AF_12/2015</v>
          </cell>
          <cell r="E100" t="str">
            <v>UN</v>
          </cell>
          <cell r="F100">
            <v>6</v>
          </cell>
          <cell r="G100">
            <v>676.62</v>
          </cell>
          <cell r="H100">
            <v>828.65</v>
          </cell>
          <cell r="I100">
            <v>4971.8999999999996</v>
          </cell>
          <cell r="J100">
            <v>3.5488222698072803E-3</v>
          </cell>
        </row>
        <row r="101">
          <cell r="A101" t="str">
            <v>7.5</v>
          </cell>
          <cell r="B101" t="str">
            <v xml:space="preserve"> 92540 </v>
          </cell>
          <cell r="C101" t="str">
            <v>SINAPI</v>
          </cell>
          <cell r="D101" t="str">
            <v>TRAMA DE MADEIRA COMPOSTA POR RIPAS, CAIBROS E TERÇAS PARA TELHADOS DE MAIS QUE 2 ÁGUAS PARA TELHA DE ENCAIXE DE CERÂMICA OU DE CONCRETO, INCLUSO TRANSPORTE VERTICAL. AF_07/2019</v>
          </cell>
          <cell r="E101" t="str">
            <v>m²</v>
          </cell>
          <cell r="F101">
            <v>1189.68</v>
          </cell>
          <cell r="G101">
            <v>52.52</v>
          </cell>
          <cell r="H101">
            <v>64.319999999999993</v>
          </cell>
          <cell r="I101">
            <v>76520.210000000006</v>
          </cell>
          <cell r="J101">
            <v>5.4618279800142756E-2</v>
          </cell>
        </row>
        <row r="102">
          <cell r="A102" t="str">
            <v>7.6</v>
          </cell>
          <cell r="B102" t="str">
            <v xml:space="preserve"> 102213 </v>
          </cell>
          <cell r="C102" t="str">
            <v>SINAPI</v>
          </cell>
          <cell r="D102" t="str">
            <v>PINTURA VERNIZ (INCOLOR) ALQUÍDICO EM MADEIRA, USO INTERNO E EXTERNO, 2 DEMÃOS. AF_01/2021</v>
          </cell>
          <cell r="E102" t="str">
            <v>m²</v>
          </cell>
          <cell r="F102">
            <v>1714.31</v>
          </cell>
          <cell r="G102">
            <v>13.54</v>
          </cell>
          <cell r="H102">
            <v>16.579999999999998</v>
          </cell>
          <cell r="I102">
            <v>28423.25</v>
          </cell>
          <cell r="J102">
            <v>2.0287830121341898E-2</v>
          </cell>
        </row>
        <row r="103">
          <cell r="A103" t="str">
            <v>7.7</v>
          </cell>
          <cell r="B103" t="str">
            <v xml:space="preserve"> 94442 </v>
          </cell>
          <cell r="C103" t="str">
            <v>SINAPI</v>
          </cell>
          <cell r="D103" t="str">
            <v>TELHAMENTO COM TELHA CERÂMICA DE ENCAIXE, TIPO ROMANA, COM ATÉ 2 ÁGUAS, INCLUSO TRANSPORTE VERTICAL. AF_07/2019</v>
          </cell>
          <cell r="E103" t="str">
            <v>m²</v>
          </cell>
          <cell r="F103">
            <v>1889.68</v>
          </cell>
          <cell r="G103">
            <v>19.38</v>
          </cell>
          <cell r="H103">
            <v>23.73</v>
          </cell>
          <cell r="I103">
            <v>44842.1</v>
          </cell>
          <cell r="J103">
            <v>3.2007209136331191E-2</v>
          </cell>
        </row>
        <row r="104">
          <cell r="A104" t="str">
            <v>7.8</v>
          </cell>
          <cell r="B104" t="str">
            <v xml:space="preserve"> 94221 </v>
          </cell>
          <cell r="C104" t="str">
            <v>SINAPI</v>
          </cell>
          <cell r="D104" t="str">
            <v>CUMEEIRA PARA TELHA CERÂMICA EMBOÇADA COM ARGAMASSA TRAÇO 1:2:9 (CIMENTO, CAL E AREIA) PARA TELHADOS COM ATÉ 2 ÁGUAS, INCLUSO TRANSPORTE VERTICAL. AF_07/2019</v>
          </cell>
          <cell r="E104" t="str">
            <v>M</v>
          </cell>
          <cell r="F104">
            <v>213.8</v>
          </cell>
          <cell r="G104">
            <v>15.4</v>
          </cell>
          <cell r="H104">
            <v>18.86</v>
          </cell>
          <cell r="I104">
            <v>4032.26</v>
          </cell>
          <cell r="J104">
            <v>2.8781299072091365E-3</v>
          </cell>
        </row>
        <row r="105">
          <cell r="A105" t="str">
            <v xml:space="preserve"> 8 </v>
          </cell>
          <cell r="B105"/>
          <cell r="C105"/>
          <cell r="D105" t="str">
            <v>IMPERMEABILIZAÇÃO</v>
          </cell>
          <cell r="E105"/>
          <cell r="F105"/>
          <cell r="G105"/>
          <cell r="H105"/>
          <cell r="I105">
            <v>7332.25</v>
          </cell>
          <cell r="J105">
            <v>5.2335831548893643E-3</v>
          </cell>
        </row>
        <row r="106">
          <cell r="A106" t="str">
            <v>8.1</v>
          </cell>
          <cell r="B106" t="str">
            <v xml:space="preserve"> C2472 </v>
          </cell>
          <cell r="C106" t="str">
            <v>SEINFRA</v>
          </cell>
          <cell r="D106" t="str">
            <v>TINTA DE BASE ASFÁLTICA 2 DEMÃOS C/BROXA</v>
          </cell>
          <cell r="E106" t="str">
            <v>m²</v>
          </cell>
          <cell r="F106">
            <v>463.48</v>
          </cell>
          <cell r="G106">
            <v>12.92</v>
          </cell>
          <cell r="H106">
            <v>15.82</v>
          </cell>
          <cell r="I106">
            <v>7332.25</v>
          </cell>
          <cell r="J106">
            <v>5.2335831548893643E-3</v>
          </cell>
        </row>
        <row r="107">
          <cell r="A107" t="str">
            <v xml:space="preserve"> 9 </v>
          </cell>
          <cell r="B107"/>
          <cell r="C107"/>
          <cell r="D107" t="str">
            <v>REVESTIMENTOS INTERNOS E EXTERNOS</v>
          </cell>
          <cell r="E107"/>
          <cell r="F107"/>
          <cell r="G107"/>
          <cell r="H107"/>
          <cell r="I107">
            <v>154110.93</v>
          </cell>
          <cell r="J107">
            <v>0.11000066381156316</v>
          </cell>
        </row>
        <row r="108">
          <cell r="A108" t="str">
            <v>9.1</v>
          </cell>
          <cell r="B108" t="str">
            <v xml:space="preserve"> 87878 </v>
          </cell>
          <cell r="C108" t="str">
            <v>SINAPI</v>
          </cell>
          <cell r="D108" t="str">
            <v>CHAPISCO APLICADO EM ALVENARIAS E ESTRUTURAS DE CONCRETO INTERNAS, COM COLHER DE PEDREIRO.  ARGAMASSA TRAÇO 1:3 COM PREPARO MANUAL. AF_10/2022</v>
          </cell>
          <cell r="E108" t="str">
            <v>m²</v>
          </cell>
          <cell r="F108">
            <v>1969.41</v>
          </cell>
          <cell r="G108">
            <v>3.25</v>
          </cell>
          <cell r="H108">
            <v>3.98</v>
          </cell>
          <cell r="I108">
            <v>7838.25</v>
          </cell>
          <cell r="J108">
            <v>5.5947537473233404E-3</v>
          </cell>
        </row>
        <row r="109">
          <cell r="A109" t="str">
            <v>9.2</v>
          </cell>
          <cell r="B109" t="str">
            <v xml:space="preserve"> 87881 </v>
          </cell>
          <cell r="C109" t="str">
            <v>SINAPI</v>
          </cell>
          <cell r="D109" t="str">
            <v>CHAPISCO APLICADO NO TETO OU EM ALVENARIA E ESTRUTURA, COM ROLO PARA TEXTURA ACRÍLICA. ARGAMASSA TRAÇO 1:4 E EMULSÃO POLIMÉRICA (ADESIVO) COM PREPARO MANUAL. AF_10/2022</v>
          </cell>
          <cell r="E109" t="str">
            <v>m²</v>
          </cell>
          <cell r="F109">
            <v>579.57000000000005</v>
          </cell>
          <cell r="G109">
            <v>5.34</v>
          </cell>
          <cell r="H109">
            <v>6.53</v>
          </cell>
          <cell r="I109">
            <v>3784.59</v>
          </cell>
          <cell r="J109">
            <v>2.7013490364025698E-3</v>
          </cell>
        </row>
        <row r="110">
          <cell r="A110" t="str">
            <v>9.3</v>
          </cell>
          <cell r="B110" t="str">
            <v xml:space="preserve"> 87535 </v>
          </cell>
          <cell r="C110" t="str">
            <v>SINAPI</v>
          </cell>
          <cell r="D110" t="str">
            <v>EMBOÇO, PARA RECEBIMENTO DE CERÂMICA, EM ARGAMASSA TRAÇO 1:2:8, PREPARO MECÂNICO COM BETONEIRA 400L, APLICADO MANUALMENTE EM FACES INTERNAS DE PAREDES, PARA AMBIENTE COM ÁREA  MAIOR QUE 10M2, ESPESSURA DE 20MM, COM EXECUÇÃO DE TALISCAS. AF_06/2014</v>
          </cell>
          <cell r="E110" t="str">
            <v>m²</v>
          </cell>
          <cell r="F110">
            <v>1969.41</v>
          </cell>
          <cell r="G110">
            <v>21.09</v>
          </cell>
          <cell r="H110">
            <v>25.82</v>
          </cell>
          <cell r="I110">
            <v>50850.16</v>
          </cell>
          <cell r="J110">
            <v>3.6295617416131333E-2</v>
          </cell>
        </row>
        <row r="111">
          <cell r="A111" t="str">
            <v>9.4</v>
          </cell>
          <cell r="B111" t="str">
            <v xml:space="preserve"> 87543 </v>
          </cell>
          <cell r="C111" t="str">
            <v>SINAPI</v>
          </cell>
          <cell r="D111" t="str">
            <v>MASSA ÚNICA, PARA RECEBIMENTO DE PINTURA OU CERÂMICA, ARGAMASSA INDUSTRIALIZADA, PREPARO MECÂNICO, APLICADO COM EQUIPAMENTO DE MISTURA E PROJEÇÃO DE 1,5 M3/H EM FACES INTERNAS DE PAREDES, ESPESSURA DE 5MM, SEM EXECUÇÃO DE TALISCAS. AF_06/2014</v>
          </cell>
          <cell r="E111" t="str">
            <v>m²</v>
          </cell>
          <cell r="F111">
            <v>1307.77</v>
          </cell>
          <cell r="G111">
            <v>18.010000000000002</v>
          </cell>
          <cell r="H111">
            <v>22.05</v>
          </cell>
          <cell r="I111">
            <v>28836.32</v>
          </cell>
          <cell r="J111">
            <v>2.0582669521770163E-2</v>
          </cell>
        </row>
        <row r="112">
          <cell r="A112" t="str">
            <v>9.5</v>
          </cell>
          <cell r="B112" t="str">
            <v xml:space="preserve"> 87543 </v>
          </cell>
          <cell r="C112" t="str">
            <v>SINAPI</v>
          </cell>
          <cell r="D112" t="str">
            <v>MASSA ÚNICA, PARA RECEBIMENTO DE PINTURA OU CERÂMICA, ARGAMASSA INDUSTRIALIZADA, PREPARO MECÂNICO, APLICADO COM EQUIPAMENTO DE MISTURA E PROJEÇÃO DE 1,5 M3/H EM FACES INTERNAS DE PAREDES, ESPESSURA DE 5MM, SEM EXECUÇÃO DE TALISCAS. AF_06/2014</v>
          </cell>
          <cell r="E112" t="str">
            <v>m²</v>
          </cell>
          <cell r="F112">
            <v>579.57000000000005</v>
          </cell>
          <cell r="G112">
            <v>18.010000000000002</v>
          </cell>
          <cell r="H112">
            <v>22.05</v>
          </cell>
          <cell r="I112">
            <v>12779.51</v>
          </cell>
          <cell r="J112">
            <v>9.1217059243397566E-3</v>
          </cell>
        </row>
        <row r="113">
          <cell r="A113" t="str">
            <v>9.6</v>
          </cell>
          <cell r="B113" t="str">
            <v xml:space="preserve"> 87273 </v>
          </cell>
          <cell r="C113" t="str">
            <v>SINAPI</v>
          </cell>
          <cell r="D113" t="str">
            <v>REVESTIMENTO CERÂMICO PARA PAREDES INTERNAS COM PLACAS TIPO ESMALTADA EXTRA  DE DIMENSÕES 33X45 CM APLICADAS NA ALTURA INTEIRA DAS PAREDES. AF_02/2023_PE</v>
          </cell>
          <cell r="E113" t="str">
            <v>m²</v>
          </cell>
          <cell r="F113">
            <v>439.53</v>
          </cell>
          <cell r="G113">
            <v>52.46</v>
          </cell>
          <cell r="H113">
            <v>64.239999999999995</v>
          </cell>
          <cell r="I113">
            <v>28235.4</v>
          </cell>
          <cell r="J113">
            <v>2.0153747323340472E-2</v>
          </cell>
        </row>
        <row r="114">
          <cell r="A114" t="str">
            <v>9.7</v>
          </cell>
          <cell r="B114" t="str">
            <v xml:space="preserve"> 87267 </v>
          </cell>
          <cell r="C114" t="str">
            <v>SINAPI</v>
          </cell>
          <cell r="D114" t="str">
            <v>REVESTIMENTO CERÂMICO PARA PAREDES INTERNAS COM PLACAS TIPO ESMALTADA EXTRA DE DIMENSÕES 20X20 CM APLICADAS A MEIA ALTURA DAS PAREDES. AF_02/2023_PE</v>
          </cell>
          <cell r="E114" t="str">
            <v>m²</v>
          </cell>
          <cell r="F114">
            <v>222.12</v>
          </cell>
          <cell r="G114">
            <v>51.11</v>
          </cell>
          <cell r="H114">
            <v>62.59</v>
          </cell>
          <cell r="I114">
            <v>13902.49</v>
          </cell>
          <cell r="J114">
            <v>9.9232619557458965E-3</v>
          </cell>
        </row>
        <row r="115">
          <cell r="A115" t="str">
            <v>9.8</v>
          </cell>
          <cell r="B115" t="str">
            <v xml:space="preserve"> 101739 </v>
          </cell>
          <cell r="C115" t="str">
            <v>SINAPI</v>
          </cell>
          <cell r="D115" t="str">
            <v>RODAPÉ EM MADEIRA, ALTURA 7CM, FIXADO COM COLA E PARAFUSOS. AF_09/2020</v>
          </cell>
          <cell r="E115" t="str">
            <v>M</v>
          </cell>
          <cell r="F115">
            <v>257.14999999999998</v>
          </cell>
          <cell r="G115">
            <v>25.04</v>
          </cell>
          <cell r="H115">
            <v>30.66</v>
          </cell>
          <cell r="I115">
            <v>7884.21</v>
          </cell>
          <cell r="J115">
            <v>5.6275588865096361E-3</v>
          </cell>
        </row>
        <row r="116">
          <cell r="A116" t="str">
            <v xml:space="preserve"> 10 </v>
          </cell>
          <cell r="B116"/>
          <cell r="C116"/>
          <cell r="D116" t="str">
            <v>SISTEMAS DE PISOS</v>
          </cell>
          <cell r="E116"/>
          <cell r="F116"/>
          <cell r="G116"/>
          <cell r="H116"/>
          <cell r="I116">
            <v>127667.35</v>
          </cell>
          <cell r="J116">
            <v>9.1125874375446114E-2</v>
          </cell>
        </row>
        <row r="117">
          <cell r="A117" t="str">
            <v xml:space="preserve"> 10.1 </v>
          </cell>
          <cell r="B117"/>
          <cell r="C117"/>
          <cell r="D117" t="str">
            <v>PAVIMENTAÇÃO INTERNA</v>
          </cell>
          <cell r="E117"/>
          <cell r="F117"/>
          <cell r="G117"/>
          <cell r="H117"/>
          <cell r="I117">
            <v>102170.13</v>
          </cell>
          <cell r="J117">
            <v>7.2926573875802994E-2</v>
          </cell>
        </row>
        <row r="118">
          <cell r="A118" t="str">
            <v>10.1.1</v>
          </cell>
          <cell r="B118" t="str">
            <v xml:space="preserve"> 87630 </v>
          </cell>
          <cell r="C118" t="str">
            <v>SINAPI</v>
          </cell>
          <cell r="D118" t="str">
            <v>CONTRAPISO EM ARGAMASSA TRAÇO 1:4 (CIMENTO E AREIA), PREPARO MECÂNICO COM BETONEIRA 400 L, APLICADO EM ÁREAS SECAS SOBRE LAJE, ADERIDO, ACABAMENTO NÃO REFORÇADO, ESPESSURA 3CM. AF_07/2021</v>
          </cell>
          <cell r="E118" t="str">
            <v>m²</v>
          </cell>
          <cell r="F118">
            <v>814.48</v>
          </cell>
          <cell r="G118">
            <v>27.28</v>
          </cell>
          <cell r="H118">
            <v>33.4</v>
          </cell>
          <cell r="I118">
            <v>27203.63</v>
          </cell>
          <cell r="J118">
            <v>1.9417294789436119E-2</v>
          </cell>
        </row>
        <row r="119">
          <cell r="A119" t="str">
            <v>10.1.2</v>
          </cell>
          <cell r="B119" t="str">
            <v xml:space="preserve"> 98679 </v>
          </cell>
          <cell r="C119" t="str">
            <v>SINAPI</v>
          </cell>
          <cell r="D119" t="str">
            <v>PISO CIMENTADO, TRAÇO 1:3 (CIMENTO E AREIA), ACABAMENTO LISO, ESPESSURA 2,0 CM, PREPARO MECÂNICO DA ARGAMASSA. AF_09/2020</v>
          </cell>
          <cell r="E119" t="str">
            <v>m²</v>
          </cell>
          <cell r="F119">
            <v>814.48</v>
          </cell>
          <cell r="G119">
            <v>24.97</v>
          </cell>
          <cell r="H119">
            <v>30.58</v>
          </cell>
          <cell r="I119">
            <v>24906.79</v>
          </cell>
          <cell r="J119">
            <v>1.7777865810135619E-2</v>
          </cell>
        </row>
        <row r="120">
          <cell r="A120" t="str">
            <v>10.1.3</v>
          </cell>
          <cell r="B120" t="str">
            <v xml:space="preserve"> 87251 </v>
          </cell>
          <cell r="C120" t="str">
            <v>SINAPI</v>
          </cell>
          <cell r="D120" t="str">
            <v>REVESTIMENTO CERÂMICO PARA PISO COM PLACAS TIPO ESMALTADA EXTRA DE DIMENSÕES 45X45 CM APLICADA EM AMBIENTES DE ÁREA MAIOR QUE 10 M2. AF_02/2023_PE</v>
          </cell>
          <cell r="E120" t="str">
            <v>m²</v>
          </cell>
          <cell r="F120">
            <v>65.28</v>
          </cell>
          <cell r="G120">
            <v>41.24</v>
          </cell>
          <cell r="H120">
            <v>50.5</v>
          </cell>
          <cell r="I120">
            <v>3296.64</v>
          </cell>
          <cell r="J120">
            <v>2.3530620985010705E-3</v>
          </cell>
        </row>
        <row r="121">
          <cell r="A121" t="str">
            <v>10.1.4</v>
          </cell>
          <cell r="B121" t="str">
            <v xml:space="preserve"> 87251 </v>
          </cell>
          <cell r="C121" t="str">
            <v>SINAPI</v>
          </cell>
          <cell r="D121" t="str">
            <v>REVESTIMENTO CERÂMICO PARA PISO COM PLACAS TIPO ESMALTADA EXTRA DE DIMENSÕES 45X45 CM APLICADA EM AMBIENTES DE ÁREA MAIOR QUE 10 M2. AF_02/2023_PE</v>
          </cell>
          <cell r="E121" t="str">
            <v>m²</v>
          </cell>
          <cell r="F121">
            <v>749.2</v>
          </cell>
          <cell r="G121">
            <v>41.24</v>
          </cell>
          <cell r="H121">
            <v>50.5</v>
          </cell>
          <cell r="I121">
            <v>37834.6</v>
          </cell>
          <cell r="J121">
            <v>2.7005424696645252E-2</v>
          </cell>
        </row>
        <row r="122">
          <cell r="A122" t="str">
            <v>10.1.5</v>
          </cell>
          <cell r="B122" t="str">
            <v xml:space="preserve"> C4623 </v>
          </cell>
          <cell r="C122" t="str">
            <v>SEINFRA</v>
          </cell>
          <cell r="D122" t="str">
            <v>PISO PODOTÁTIL INTERNO EM BORRACHA 30x30cm ASSENTAMENTO COM COLA VINIL (FORNECIMENTO E ASSENTAMENTO)</v>
          </cell>
          <cell r="E122" t="str">
            <v>m²</v>
          </cell>
          <cell r="F122">
            <v>40.950000000000003</v>
          </cell>
          <cell r="G122">
            <v>138.13999999999999</v>
          </cell>
          <cell r="H122">
            <v>169.18</v>
          </cell>
          <cell r="I122">
            <v>6927.92</v>
          </cell>
          <cell r="J122">
            <v>4.9449821556031403E-3</v>
          </cell>
        </row>
        <row r="123">
          <cell r="A123" t="str">
            <v>10.1.6</v>
          </cell>
          <cell r="B123" t="str">
            <v xml:space="preserve"> C4624 </v>
          </cell>
          <cell r="C123" t="str">
            <v>SEINFRA</v>
          </cell>
          <cell r="D123" t="str">
            <v>PISO PODOTÁTIL EXTERNO EM PMC ESP. 3CM, ASSENTADO COM ARGAMASSA (FORNECIMENTO E ASSENTAMENTO)</v>
          </cell>
          <cell r="E123" t="str">
            <v>m²</v>
          </cell>
          <cell r="F123">
            <v>5.4</v>
          </cell>
          <cell r="G123">
            <v>95.53</v>
          </cell>
          <cell r="H123">
            <v>116.99</v>
          </cell>
          <cell r="I123">
            <v>631.74</v>
          </cell>
          <cell r="J123">
            <v>4.5092077087794432E-4</v>
          </cell>
        </row>
        <row r="124">
          <cell r="A124" t="str">
            <v>10.1.7</v>
          </cell>
          <cell r="B124" t="str">
            <v xml:space="preserve"> C2284 </v>
          </cell>
          <cell r="C124" t="str">
            <v>SEINFRA</v>
          </cell>
          <cell r="D124" t="str">
            <v>SOLEIRA DE GRANITO L= 15cm</v>
          </cell>
          <cell r="E124" t="str">
            <v>M</v>
          </cell>
          <cell r="F124">
            <v>18.5</v>
          </cell>
          <cell r="G124">
            <v>60.42</v>
          </cell>
          <cell r="H124">
            <v>73.989999999999995</v>
          </cell>
          <cell r="I124">
            <v>1368.81</v>
          </cell>
          <cell r="J124">
            <v>9.7702355460385442E-4</v>
          </cell>
        </row>
        <row r="125">
          <cell r="A125" t="str">
            <v xml:space="preserve"> 10.2 </v>
          </cell>
          <cell r="B125"/>
          <cell r="C125"/>
          <cell r="D125" t="str">
            <v>PAVIMENTAÇÃO EXTERNA</v>
          </cell>
          <cell r="E125"/>
          <cell r="F125"/>
          <cell r="G125"/>
          <cell r="H125"/>
          <cell r="I125">
            <v>25497.22</v>
          </cell>
          <cell r="J125">
            <v>1.8199300499643113E-2</v>
          </cell>
        </row>
        <row r="126">
          <cell r="A126" t="str">
            <v>10.2.1</v>
          </cell>
          <cell r="B126" t="str">
            <v xml:space="preserve"> 94990 </v>
          </cell>
          <cell r="C126" t="str">
            <v>SINAPI</v>
          </cell>
          <cell r="D126" t="str">
            <v>EXECUÇÃO DE PASSEIO (CALÇADA) OU PISO DE CONCRETO COM CONCRETO MOLDADO IN LOCO, FEITO EM OBRA, ACABAMENTO CONVENCIONAL, NÃO ARMADO. AF_08/2022</v>
          </cell>
          <cell r="E126" t="str">
            <v>m³</v>
          </cell>
          <cell r="F126">
            <v>25.08</v>
          </cell>
          <cell r="G126">
            <v>536.34</v>
          </cell>
          <cell r="H126">
            <v>656.85</v>
          </cell>
          <cell r="I126">
            <v>16473.79</v>
          </cell>
          <cell r="J126">
            <v>1.1758593861527481E-2</v>
          </cell>
        </row>
        <row r="127">
          <cell r="A127" t="str">
            <v>10.2.2</v>
          </cell>
          <cell r="B127" t="str">
            <v xml:space="preserve"> 94963 </v>
          </cell>
          <cell r="C127" t="str">
            <v>SINAPI</v>
          </cell>
          <cell r="D127" t="str">
            <v>CONCRETO FCK = 15MPA, TRAÇO 1:3,4:3,5 (EM MASSA SECA DE CIMENTO/ AREIA MÉDIA/ BRITA 1) - PREPARO MECÂNICO COM BETONEIRA 400 L. AF_05/2021</v>
          </cell>
          <cell r="E127" t="str">
            <v>m³</v>
          </cell>
          <cell r="F127">
            <v>11.98</v>
          </cell>
          <cell r="G127">
            <v>304.58</v>
          </cell>
          <cell r="H127">
            <v>373.01</v>
          </cell>
          <cell r="I127">
            <v>4468.6499999999996</v>
          </cell>
          <cell r="J127">
            <v>3.1896145610278374E-3</v>
          </cell>
        </row>
        <row r="128">
          <cell r="A128" t="str">
            <v>10.2.3</v>
          </cell>
          <cell r="B128" t="str">
            <v xml:space="preserve"> 94263 </v>
          </cell>
          <cell r="C128" t="str">
            <v>SINAPI</v>
          </cell>
          <cell r="D128" t="str">
            <v>GUIA (MEIO-FIO) CONCRETO, MOLDADA  IN LOCO  EM TRECHO RETO COM EXTRUSORA, 13 CM BASE X 22 CM ALTURA. AF_06/2016</v>
          </cell>
          <cell r="E128" t="str">
            <v>M</v>
          </cell>
          <cell r="F128">
            <v>27.3</v>
          </cell>
          <cell r="G128">
            <v>22.9</v>
          </cell>
          <cell r="H128">
            <v>28.04</v>
          </cell>
          <cell r="I128">
            <v>765.49</v>
          </cell>
          <cell r="J128">
            <v>5.4638829407566028E-4</v>
          </cell>
        </row>
        <row r="129">
          <cell r="A129" t="str">
            <v>10.2.4</v>
          </cell>
          <cell r="B129" t="str">
            <v xml:space="preserve"> 94968 </v>
          </cell>
          <cell r="C129" t="str">
            <v>SINAPI</v>
          </cell>
          <cell r="D129" t="str">
            <v>CONCRETO MAGRO PARA LASTRO, TRAÇO 1:4,5:4,5 (EM MASSA SECA DE CIMENTO/ AREIA MÉDIA/ BRITA 1) - PREPARO MECÂNICO COM BETONEIRA 600 L. AF_05/2021</v>
          </cell>
          <cell r="E129" t="str">
            <v>m³</v>
          </cell>
          <cell r="F129">
            <v>11.28</v>
          </cell>
          <cell r="G129">
            <v>274.3</v>
          </cell>
          <cell r="H129">
            <v>335.93</v>
          </cell>
          <cell r="I129">
            <v>3789.29</v>
          </cell>
          <cell r="J129">
            <v>2.704703783012134E-3</v>
          </cell>
        </row>
        <row r="130">
          <cell r="A130" t="str">
            <v xml:space="preserve"> 11 </v>
          </cell>
          <cell r="B130"/>
          <cell r="C130"/>
          <cell r="D130" t="str">
            <v>PINTURAS E ACABAMENTOS</v>
          </cell>
          <cell r="E130"/>
          <cell r="F130"/>
          <cell r="G130"/>
          <cell r="H130"/>
          <cell r="I130">
            <v>45376</v>
          </cell>
          <cell r="J130">
            <v>3.238829407566024E-2</v>
          </cell>
        </row>
        <row r="131">
          <cell r="A131" t="str">
            <v>11.1</v>
          </cell>
          <cell r="B131" t="str">
            <v xml:space="preserve"> 96123 </v>
          </cell>
          <cell r="C131" t="str">
            <v>SINAPI</v>
          </cell>
          <cell r="D131" t="str">
            <v>ACABAMENTOS PARA FORRO (MOLDURA EM DRYWALL, COM LARGURA DE 15 CM). AF_05/2017_PS</v>
          </cell>
          <cell r="E131" t="str">
            <v>M</v>
          </cell>
          <cell r="F131">
            <v>432.55</v>
          </cell>
          <cell r="G131">
            <v>21.6</v>
          </cell>
          <cell r="H131">
            <v>26.45</v>
          </cell>
          <cell r="I131">
            <v>11440.94</v>
          </cell>
          <cell r="J131">
            <v>8.1662669521770162E-3</v>
          </cell>
        </row>
        <row r="132">
          <cell r="A132" t="str">
            <v>11.2</v>
          </cell>
          <cell r="B132" t="str">
            <v xml:space="preserve"> 96123 </v>
          </cell>
          <cell r="C132" t="str">
            <v>SINAPI</v>
          </cell>
          <cell r="D132" t="str">
            <v>ACABAMENTOS PARA FORRO (MOLDURA EM DRYWALL, COM LARGURA DE 15 CM). AF_05/2017_PS</v>
          </cell>
          <cell r="E132" t="str">
            <v>M</v>
          </cell>
          <cell r="F132">
            <v>579.57000000000005</v>
          </cell>
          <cell r="G132">
            <v>21.6</v>
          </cell>
          <cell r="H132">
            <v>26.45</v>
          </cell>
          <cell r="I132">
            <v>15329.62</v>
          </cell>
          <cell r="J132">
            <v>1.0941912919343327E-2</v>
          </cell>
        </row>
        <row r="133">
          <cell r="A133" t="str">
            <v>11.3</v>
          </cell>
          <cell r="B133" t="str">
            <v xml:space="preserve"> 88489 </v>
          </cell>
          <cell r="C133" t="str">
            <v>SINAPI</v>
          </cell>
          <cell r="D133" t="str">
            <v>PINTURA LÁTEX ACRÍLICA PREMIUM, APLICAÇÃO MANUAL EM PAREDES, DUAS DEMÃOS. AF_04/2023</v>
          </cell>
          <cell r="E133" t="str">
            <v>m²</v>
          </cell>
          <cell r="F133">
            <v>1307.77</v>
          </cell>
          <cell r="G133">
            <v>6.94</v>
          </cell>
          <cell r="H133">
            <v>8.49</v>
          </cell>
          <cell r="I133">
            <v>11102.96</v>
          </cell>
          <cell r="J133">
            <v>7.9250249821556026E-3</v>
          </cell>
        </row>
        <row r="134">
          <cell r="A134" t="str">
            <v>11.4</v>
          </cell>
          <cell r="B134" t="str">
            <v xml:space="preserve"> 88488 </v>
          </cell>
          <cell r="C134" t="str">
            <v>SINAPI</v>
          </cell>
          <cell r="D134" t="str">
            <v>PINTURA LÁTEX ACRÍLICA PREMIUM, APLICAÇÃO MANUAL EM TETO, DUAS DEMÃOS. AF_04/2023</v>
          </cell>
          <cell r="E134" t="str">
            <v>m²</v>
          </cell>
          <cell r="F134">
            <v>569.57000000000005</v>
          </cell>
          <cell r="G134">
            <v>8.4700000000000006</v>
          </cell>
          <cell r="H134">
            <v>10.37</v>
          </cell>
          <cell r="I134">
            <v>5906.44</v>
          </cell>
          <cell r="J134">
            <v>4.2158743754461096E-3</v>
          </cell>
        </row>
        <row r="135">
          <cell r="A135" t="str">
            <v>11.5</v>
          </cell>
          <cell r="B135" t="str">
            <v xml:space="preserve"> 102219 </v>
          </cell>
          <cell r="C135" t="str">
            <v>SINAPI</v>
          </cell>
          <cell r="D135" t="str">
            <v>PINTURA TINTA DE ACABAMENTO (PIGMENTADA) ESMALTE SINTÉTICO ACETINADO EM MADEIRA, 2 DEMÃOS. AF_01/2021</v>
          </cell>
          <cell r="E135" t="str">
            <v>m²</v>
          </cell>
          <cell r="F135">
            <v>25.72</v>
          </cell>
          <cell r="G135">
            <v>10.81</v>
          </cell>
          <cell r="H135">
            <v>13.23</v>
          </cell>
          <cell r="I135">
            <v>340.27</v>
          </cell>
          <cell r="J135">
            <v>2.4287651677373304E-4</v>
          </cell>
        </row>
        <row r="136">
          <cell r="A136" t="str">
            <v>11.6</v>
          </cell>
          <cell r="B136" t="str">
            <v xml:space="preserve"> 100742 </v>
          </cell>
          <cell r="C136" t="str">
            <v>SINAPI</v>
          </cell>
          <cell r="D136" t="str">
            <v>PINTURA COM TINTA ALQUÍDICA DE ACABAMENTO (ESMALTE SINTÉTICO ACETINADO) APLICADA A ROLO OU PINCEL SOBRE SUPERFÍCIES METÁLICAS (EXCETO PERFIL) EXECUTADO EM OBRA (POR DEMÃO). AF_01/2020</v>
          </cell>
          <cell r="E136" t="str">
            <v>m²</v>
          </cell>
          <cell r="F136">
            <v>21.6</v>
          </cell>
          <cell r="G136">
            <v>16.190000000000001</v>
          </cell>
          <cell r="H136">
            <v>19.82</v>
          </cell>
          <cell r="I136">
            <v>428.11</v>
          </cell>
          <cell r="J136">
            <v>3.0557458957887224E-4</v>
          </cell>
        </row>
        <row r="137">
          <cell r="A137" t="str">
            <v>11.7</v>
          </cell>
          <cell r="B137" t="str">
            <v xml:space="preserve"> 102219 </v>
          </cell>
          <cell r="C137" t="str">
            <v>SINAPI</v>
          </cell>
          <cell r="D137" t="str">
            <v>PINTURA TINTA DE ACABAMENTO (PIGMENTADA) ESMALTE SINTÉTICO ACETINADO EM MADEIRA, 2 DEMÃOS. AF_01/2021</v>
          </cell>
          <cell r="E137" t="str">
            <v>m²</v>
          </cell>
          <cell r="F137">
            <v>62.56</v>
          </cell>
          <cell r="G137">
            <v>10.81</v>
          </cell>
          <cell r="H137">
            <v>13.23</v>
          </cell>
          <cell r="I137">
            <v>827.66</v>
          </cell>
          <cell r="J137">
            <v>5.9076374018558178E-4</v>
          </cell>
        </row>
        <row r="138">
          <cell r="A138" t="str">
            <v xml:space="preserve"> 12 </v>
          </cell>
          <cell r="B138"/>
          <cell r="C138"/>
          <cell r="D138" t="str">
            <v>INSTALAÇÕES HIDRÁULICAS</v>
          </cell>
          <cell r="E138"/>
          <cell r="F138"/>
          <cell r="G138"/>
          <cell r="H138"/>
          <cell r="I138">
            <v>33522.230000000003</v>
          </cell>
          <cell r="J138">
            <v>2.3927359029264812E-2</v>
          </cell>
        </row>
        <row r="139">
          <cell r="A139" t="str">
            <v>12.1</v>
          </cell>
          <cell r="B139" t="str">
            <v xml:space="preserve"> 89401 </v>
          </cell>
          <cell r="C139" t="str">
            <v>SINAPI</v>
          </cell>
          <cell r="D139" t="str">
            <v>TUBO, PVC, SOLDÁVEL, DN 20MM, INSTALADO EM RAMAL DE DISTRIBUIÇÃO DE ÁGUA - FORNECIMENTO E INSTALAÇÃO. AF_06/2022</v>
          </cell>
          <cell r="E139" t="str">
            <v>M</v>
          </cell>
          <cell r="F139">
            <v>23</v>
          </cell>
          <cell r="G139">
            <v>7.6</v>
          </cell>
          <cell r="H139">
            <v>9.3000000000000007</v>
          </cell>
          <cell r="I139">
            <v>213.9</v>
          </cell>
          <cell r="J139">
            <v>1.5267665952890791E-4</v>
          </cell>
        </row>
        <row r="140">
          <cell r="A140" t="str">
            <v>12.2</v>
          </cell>
          <cell r="B140" t="str">
            <v xml:space="preserve"> 89446 </v>
          </cell>
          <cell r="C140" t="str">
            <v>SINAPI</v>
          </cell>
          <cell r="D140" t="str">
            <v>TUBO, PVC, SOLDÁVEL, DN 25MM, INSTALADO EM PRUMADA DE ÁGUA - FORNECIMENTO E INSTALAÇÃO. AF_06/2022</v>
          </cell>
          <cell r="E140" t="str">
            <v>M</v>
          </cell>
          <cell r="F140">
            <v>8</v>
          </cell>
          <cell r="G140">
            <v>4.22</v>
          </cell>
          <cell r="H140">
            <v>5.16</v>
          </cell>
          <cell r="I140">
            <v>41.28</v>
          </cell>
          <cell r="J140">
            <v>2.9464668094218414E-5</v>
          </cell>
        </row>
        <row r="141">
          <cell r="A141" t="str">
            <v>12.3</v>
          </cell>
          <cell r="B141" t="str">
            <v xml:space="preserve"> 89447 </v>
          </cell>
          <cell r="C141" t="str">
            <v>SINAPI</v>
          </cell>
          <cell r="D141" t="str">
            <v>TUBO, PVC, SOLDÁVEL, DN 32MM, INSTALADO EM PRUMADA DE ÁGUA - FORNECIMENTO E INSTALAÇÃO. AF_06/2022</v>
          </cell>
          <cell r="E141" t="str">
            <v>M</v>
          </cell>
          <cell r="F141">
            <v>3</v>
          </cell>
          <cell r="G141">
            <v>8.52</v>
          </cell>
          <cell r="H141">
            <v>10.43</v>
          </cell>
          <cell r="I141">
            <v>31.29</v>
          </cell>
          <cell r="J141">
            <v>2.2334047109207709E-5</v>
          </cell>
        </row>
        <row r="142">
          <cell r="A142" t="str">
            <v>12.4</v>
          </cell>
          <cell r="B142" t="str">
            <v xml:space="preserve"> 89448 </v>
          </cell>
          <cell r="C142" t="str">
            <v>SINAPI</v>
          </cell>
          <cell r="D142" t="str">
            <v>TUBO, PVC, SOLDÁVEL, DN 40MM, INSTALADO EM PRUMADA DE ÁGUA - FORNECIMENTO E INSTALAÇÃO. AF_06/2022</v>
          </cell>
          <cell r="E142" t="str">
            <v>M</v>
          </cell>
          <cell r="F142">
            <v>11</v>
          </cell>
          <cell r="G142">
            <v>13.12</v>
          </cell>
          <cell r="H142">
            <v>16.059999999999999</v>
          </cell>
          <cell r="I142">
            <v>176.66</v>
          </cell>
          <cell r="J142">
            <v>1.2609564596716632E-4</v>
          </cell>
        </row>
        <row r="143">
          <cell r="A143" t="str">
            <v>12.5</v>
          </cell>
          <cell r="B143" t="str">
            <v xml:space="preserve"> 89449 </v>
          </cell>
          <cell r="C143" t="str">
            <v>SINAPI</v>
          </cell>
          <cell r="D143" t="str">
            <v>TUBO, PVC, SOLDÁVEL, DN 50MM, INSTALADO EM PRUMADA DE ÁGUA - FORNECIMENTO E INSTALAÇÃO. AF_06/2022</v>
          </cell>
          <cell r="E143" t="str">
            <v>M</v>
          </cell>
          <cell r="F143">
            <v>4</v>
          </cell>
          <cell r="G143">
            <v>14.5</v>
          </cell>
          <cell r="H143">
            <v>17.75</v>
          </cell>
          <cell r="I143">
            <v>71</v>
          </cell>
          <cell r="J143">
            <v>5.0678087080656676E-5</v>
          </cell>
        </row>
        <row r="144">
          <cell r="A144" t="str">
            <v>12.6</v>
          </cell>
          <cell r="B144" t="str">
            <v xml:space="preserve"> 89450 </v>
          </cell>
          <cell r="C144" t="str">
            <v>SINAPI</v>
          </cell>
          <cell r="D144" t="str">
            <v>TUBO, PVC, SOLDÁVEL, DN 60MM, INSTALADO EM PRUMADA DE ÁGUA - FORNECIMENTO E INSTALAÇÃO. AF_06/2022</v>
          </cell>
          <cell r="E144" t="str">
            <v>M</v>
          </cell>
          <cell r="F144">
            <v>69</v>
          </cell>
          <cell r="G144">
            <v>23.35</v>
          </cell>
          <cell r="H144">
            <v>28.59</v>
          </cell>
          <cell r="I144">
            <v>1972.71</v>
          </cell>
          <cell r="J144">
            <v>1.4080728051391862E-3</v>
          </cell>
        </row>
        <row r="145">
          <cell r="A145" t="str">
            <v>12.7</v>
          </cell>
          <cell r="B145" t="str">
            <v xml:space="preserve"> 89404 </v>
          </cell>
          <cell r="C145" t="str">
            <v>SINAPI</v>
          </cell>
          <cell r="D145" t="str">
            <v>JOELHO 90 GRAUS, PVC, SOLDÁVEL, DN 20MM, INSTALADO EM RAMAL DE DISTRIBUIÇÃO DE ÁGUA - FORNECIMENTO E INSTALAÇÃO. AF_06/2022</v>
          </cell>
          <cell r="E145" t="str">
            <v>UN</v>
          </cell>
          <cell r="F145">
            <v>14</v>
          </cell>
          <cell r="G145">
            <v>4.68</v>
          </cell>
          <cell r="H145">
            <v>5.73</v>
          </cell>
          <cell r="I145">
            <v>80.22</v>
          </cell>
          <cell r="J145">
            <v>5.7259100642398287E-5</v>
          </cell>
        </row>
        <row r="146">
          <cell r="A146" t="str">
            <v>12.8</v>
          </cell>
          <cell r="B146" t="str">
            <v xml:space="preserve"> 89481 </v>
          </cell>
          <cell r="C146" t="str">
            <v>SINAPI</v>
          </cell>
          <cell r="D146" t="str">
            <v>JOELHO 90 GRAUS, PVC, SOLDÁVEL, DN 25MM, INSTALADO EM PRUMADA DE ÁGUA - FORNECIMENTO E INSTALAÇÃO. AF_06/2022</v>
          </cell>
          <cell r="E146" t="str">
            <v>UN</v>
          </cell>
          <cell r="F146">
            <v>15</v>
          </cell>
          <cell r="G146">
            <v>3.46</v>
          </cell>
          <cell r="H146">
            <v>4.2300000000000004</v>
          </cell>
          <cell r="I146">
            <v>63.45</v>
          </cell>
          <cell r="J146">
            <v>4.5289079229122055E-5</v>
          </cell>
        </row>
        <row r="147">
          <cell r="A147" t="str">
            <v>12.9</v>
          </cell>
          <cell r="B147" t="str">
            <v xml:space="preserve"> 89492 </v>
          </cell>
          <cell r="C147" t="str">
            <v>SINAPI</v>
          </cell>
          <cell r="D147" t="str">
            <v>JOELHO 90 GRAUS, PVC, SOLDÁVEL, DN 32MM, INSTALADO EM PRUMADA DE ÁGUA - FORNECIMENTO E INSTALAÇÃO. AF_06/2022</v>
          </cell>
          <cell r="E147" t="str">
            <v>UN</v>
          </cell>
          <cell r="F147">
            <v>42</v>
          </cell>
          <cell r="G147">
            <v>5.57</v>
          </cell>
          <cell r="H147">
            <v>6.82</v>
          </cell>
          <cell r="I147">
            <v>286.44</v>
          </cell>
          <cell r="J147">
            <v>2.0445396145610278E-4</v>
          </cell>
        </row>
        <row r="148">
          <cell r="A148" t="str">
            <v>12.10</v>
          </cell>
          <cell r="B148" t="str">
            <v xml:space="preserve"> 89497 </v>
          </cell>
          <cell r="C148" t="str">
            <v>SINAPI</v>
          </cell>
          <cell r="D148" t="str">
            <v>JOELHO 90 GRAUS, PVC, SOLDÁVEL, DN 40MM, INSTALADO EM PRUMADA DE ÁGUA - FORNECIMENTO E INSTALAÇÃO. AF_06/2022</v>
          </cell>
          <cell r="E148" t="str">
            <v>UN</v>
          </cell>
          <cell r="F148">
            <v>8</v>
          </cell>
          <cell r="G148">
            <v>9.2799999999999994</v>
          </cell>
          <cell r="H148">
            <v>11.36</v>
          </cell>
          <cell r="I148">
            <v>90.88</v>
          </cell>
          <cell r="J148">
            <v>6.4867951463240539E-5</v>
          </cell>
        </row>
        <row r="149">
          <cell r="A149" t="str">
            <v>12.11</v>
          </cell>
          <cell r="B149" t="str">
            <v xml:space="preserve"> 89505 </v>
          </cell>
          <cell r="C149" t="str">
            <v>SINAPI</v>
          </cell>
          <cell r="D149" t="str">
            <v>JOELHO 90 GRAUS, PVC, SOLDÁVEL, DN 60MM, INSTALADO EM PRUMADA DE ÁGUA - FORNECIMENTO E INSTALAÇÃO. AF_06/2022</v>
          </cell>
          <cell r="E149" t="str">
            <v>UN</v>
          </cell>
          <cell r="F149">
            <v>2</v>
          </cell>
          <cell r="G149">
            <v>30.87</v>
          </cell>
          <cell r="H149">
            <v>37.799999999999997</v>
          </cell>
          <cell r="I149">
            <v>75.599999999999994</v>
          </cell>
          <cell r="J149">
            <v>5.3961456102783729E-5</v>
          </cell>
        </row>
        <row r="150">
          <cell r="A150" t="str">
            <v>12.12</v>
          </cell>
          <cell r="B150" t="str">
            <v xml:space="preserve"> 89397 </v>
          </cell>
          <cell r="C150" t="str">
            <v>SINAPI</v>
          </cell>
          <cell r="D150" t="str">
            <v>TÊ DE REDUÇÃO, PVC, SOLDÁVEL, DN 25MM X 20MM, INSTALADO EM RAMAL OU SUB-RAMAL DE ÁGUA - FORNECIMENTO E INSTALAÇÃO. AF_06/2022</v>
          </cell>
          <cell r="E150" t="str">
            <v>UN</v>
          </cell>
          <cell r="F150">
            <v>2</v>
          </cell>
          <cell r="G150">
            <v>10.039999999999999</v>
          </cell>
          <cell r="H150">
            <v>12.29</v>
          </cell>
          <cell r="I150">
            <v>24.58</v>
          </cell>
          <cell r="J150">
            <v>1.7544610992148467E-5</v>
          </cell>
        </row>
        <row r="151">
          <cell r="A151" t="str">
            <v>12.13</v>
          </cell>
          <cell r="B151" t="str">
            <v xml:space="preserve"> 89622 </v>
          </cell>
          <cell r="C151" t="str">
            <v>SINAPI</v>
          </cell>
          <cell r="D151" t="str">
            <v>TÊ DE REDUÇÃO, PVC, SOLDÁVEL, DN 32MM X 25MM, INSTALADO EM PRUMADA DE ÁGUA - FORNECIMENTO E INSTALAÇÃO. AF_06/2022</v>
          </cell>
          <cell r="E151" t="str">
            <v>UN</v>
          </cell>
          <cell r="F151">
            <v>1</v>
          </cell>
          <cell r="G151">
            <v>9.9600000000000009</v>
          </cell>
          <cell r="H151">
            <v>12.19</v>
          </cell>
          <cell r="I151">
            <v>12.19</v>
          </cell>
          <cell r="J151">
            <v>8.7009279086366884E-6</v>
          </cell>
        </row>
        <row r="152">
          <cell r="A152" t="str">
            <v>12.14</v>
          </cell>
          <cell r="B152" t="str">
            <v xml:space="preserve"> 89626 </v>
          </cell>
          <cell r="C152" t="str">
            <v>SINAPI</v>
          </cell>
          <cell r="D152" t="str">
            <v>TÊ DE REDUÇÃO, PVC, SOLDÁVEL, DN 50MM X 40MM, INSTALADO EM PRUMADA DE ÁGUA - FORNECIMENTO E INSTALAÇÃO. AF_06/2022</v>
          </cell>
          <cell r="E152" t="str">
            <v>UN</v>
          </cell>
          <cell r="F152">
            <v>2</v>
          </cell>
          <cell r="G152">
            <v>21.88</v>
          </cell>
          <cell r="H152">
            <v>26.79</v>
          </cell>
          <cell r="I152">
            <v>53.58</v>
          </cell>
          <cell r="J152">
            <v>3.8244111349036405E-5</v>
          </cell>
        </row>
        <row r="153">
          <cell r="A153" t="str">
            <v>12.15</v>
          </cell>
          <cell r="B153" t="str">
            <v xml:space="preserve"> 89627 </v>
          </cell>
          <cell r="C153" t="str">
            <v>SINAPI</v>
          </cell>
          <cell r="D153" t="str">
            <v>TÊ DE REDUÇÃO, PVC, SOLDÁVEL, DN 50MM X 25MM, INSTALADO EM PRUMADA DE ÁGUA - FORNECIMENTO E INSTALAÇÃO. AF_06/2022</v>
          </cell>
          <cell r="E153" t="str">
            <v>UN</v>
          </cell>
          <cell r="F153">
            <v>5</v>
          </cell>
          <cell r="G153">
            <v>14.28</v>
          </cell>
          <cell r="H153">
            <v>17.48</v>
          </cell>
          <cell r="I153">
            <v>87.4</v>
          </cell>
          <cell r="J153">
            <v>6.238401142041399E-5</v>
          </cell>
        </row>
        <row r="154">
          <cell r="A154" t="str">
            <v>12.16</v>
          </cell>
          <cell r="B154" t="str">
            <v xml:space="preserve"> 89630 </v>
          </cell>
          <cell r="C154" t="str">
            <v>SINAPI</v>
          </cell>
          <cell r="D154" t="str">
            <v>TE DE REDUÇÃO, PVC, SOLDÁVEL, DN 75MM X 50MM, INSTALADO EM PRUMADA DE ÁGUA - FORNECIMENTO E INSTALAÇÃO. AF_06/2022</v>
          </cell>
          <cell r="E154" t="str">
            <v>UN</v>
          </cell>
          <cell r="F154">
            <v>2</v>
          </cell>
          <cell r="G154">
            <v>45.44</v>
          </cell>
          <cell r="H154">
            <v>55.65</v>
          </cell>
          <cell r="I154">
            <v>111.3</v>
          </cell>
          <cell r="J154">
            <v>7.944325481798715E-5</v>
          </cell>
        </row>
        <row r="155">
          <cell r="A155" t="str">
            <v>12.17</v>
          </cell>
          <cell r="B155" t="str">
            <v xml:space="preserve"> 89438 </v>
          </cell>
          <cell r="C155" t="str">
            <v>SINAPI</v>
          </cell>
          <cell r="D155" t="str">
            <v>TE, PVC, SOLDÁVEL, DN 20MM, INSTALADO EM RAMAL DE DISTRIBUIÇÃO DE ÁGUA - FORNECIMENTO E INSTALAÇÃO. AF_06/2022</v>
          </cell>
          <cell r="E155" t="str">
            <v>UN</v>
          </cell>
          <cell r="F155">
            <v>6</v>
          </cell>
          <cell r="G155">
            <v>6.56</v>
          </cell>
          <cell r="H155">
            <v>8.0299999999999994</v>
          </cell>
          <cell r="I155">
            <v>48.18</v>
          </cell>
          <cell r="J155">
            <v>3.4389721627408991E-5</v>
          </cell>
        </row>
        <row r="156">
          <cell r="A156" t="str">
            <v>12.18</v>
          </cell>
          <cell r="B156" t="str">
            <v xml:space="preserve"> 89617 </v>
          </cell>
          <cell r="C156" t="str">
            <v>SINAPI</v>
          </cell>
          <cell r="D156" t="str">
            <v>TE, PVC, SOLDÁVEL, DN 25MM, INSTALADO EM PRUMADA DE ÁGUA - FORNECIMENTO E INSTALAÇÃO. AF_06/2022</v>
          </cell>
          <cell r="E156" t="str">
            <v>UN</v>
          </cell>
          <cell r="F156">
            <v>4</v>
          </cell>
          <cell r="G156">
            <v>4.92</v>
          </cell>
          <cell r="H156">
            <v>6.02</v>
          </cell>
          <cell r="I156">
            <v>24.08</v>
          </cell>
          <cell r="J156">
            <v>1.7187723054960743E-5</v>
          </cell>
        </row>
        <row r="157">
          <cell r="A157" t="str">
            <v>12.19</v>
          </cell>
          <cell r="B157" t="str">
            <v xml:space="preserve"> 89623 </v>
          </cell>
          <cell r="C157" t="str">
            <v>SINAPI</v>
          </cell>
          <cell r="D157" t="str">
            <v>TE, PVC, SOLDÁVEL, DN 40MM, INSTALADO EM PRUMADA DE ÁGUA - FORNECIMENTO E INSTALAÇÃO. AF_06/2022</v>
          </cell>
          <cell r="E157" t="str">
            <v>UN</v>
          </cell>
          <cell r="F157">
            <v>1</v>
          </cell>
          <cell r="G157">
            <v>13.69</v>
          </cell>
          <cell r="H157">
            <v>16.760000000000002</v>
          </cell>
          <cell r="I157">
            <v>16.760000000000002</v>
          </cell>
          <cell r="J157">
            <v>1.1962883654532478E-5</v>
          </cell>
        </row>
        <row r="158">
          <cell r="A158" t="str">
            <v>12.20</v>
          </cell>
          <cell r="B158" t="str">
            <v xml:space="preserve"> 89628 </v>
          </cell>
          <cell r="C158" t="str">
            <v>SINAPI</v>
          </cell>
          <cell r="D158" t="str">
            <v>TE, PVC, SOLDÁVEL, DN 60MM, INSTALADO EM PRUMADA DE ÁGUA - FORNECIMENTO E INSTALAÇÃO. AF_06/2022</v>
          </cell>
          <cell r="E158" t="str">
            <v>UN</v>
          </cell>
          <cell r="F158">
            <v>8</v>
          </cell>
          <cell r="G158">
            <v>35.18</v>
          </cell>
          <cell r="H158">
            <v>43.08</v>
          </cell>
          <cell r="I158">
            <v>344.64</v>
          </cell>
          <cell r="J158">
            <v>2.4599571734475374E-4</v>
          </cell>
        </row>
        <row r="159">
          <cell r="A159" t="str">
            <v>12.21</v>
          </cell>
          <cell r="B159" t="str">
            <v xml:space="preserve"> 94495 </v>
          </cell>
          <cell r="C159" t="str">
            <v>SINAPI</v>
          </cell>
          <cell r="D159" t="str">
            <v>REGISTRO DE GAVETA BRUTO, LATÃO, ROSCÁVEL, 1" - FORNECIMENTO E INSTALAÇÃO. AF_08/2021</v>
          </cell>
          <cell r="E159" t="str">
            <v>UN</v>
          </cell>
          <cell r="F159">
            <v>4</v>
          </cell>
          <cell r="G159">
            <v>50.42</v>
          </cell>
          <cell r="H159">
            <v>61.74</v>
          </cell>
          <cell r="I159">
            <v>246.96</v>
          </cell>
          <cell r="J159">
            <v>1.7627408993576017E-4</v>
          </cell>
        </row>
        <row r="160">
          <cell r="A160" t="str">
            <v>12.22</v>
          </cell>
          <cell r="B160" t="str">
            <v xml:space="preserve"> 94496 </v>
          </cell>
          <cell r="C160" t="str">
            <v>SINAPI</v>
          </cell>
          <cell r="D160" t="str">
            <v>REGISTRO DE GAVETA BRUTO, LATÃO, ROSCÁVEL, 1 1/4" - FORNECIMENTO E INSTALAÇÃO. AF_08/2021</v>
          </cell>
          <cell r="E160" t="str">
            <v>UN</v>
          </cell>
          <cell r="F160">
            <v>2</v>
          </cell>
          <cell r="G160">
            <v>68.72</v>
          </cell>
          <cell r="H160">
            <v>84.16</v>
          </cell>
          <cell r="I160">
            <v>168.32</v>
          </cell>
          <cell r="J160">
            <v>1.2014275517487508E-4</v>
          </cell>
        </row>
        <row r="161">
          <cell r="A161" t="str">
            <v>12.23</v>
          </cell>
          <cell r="B161" t="str">
            <v xml:space="preserve"> 94497 </v>
          </cell>
          <cell r="C161" t="str">
            <v>SINAPI</v>
          </cell>
          <cell r="D161" t="str">
            <v>REGISTRO DE GAVETA BRUTO, LATÃO, ROSCÁVEL, 1 1/2" - FORNECIMENTO E INSTALAÇÃO. AF_08/2021</v>
          </cell>
          <cell r="E161" t="str">
            <v>UN</v>
          </cell>
          <cell r="F161">
            <v>1</v>
          </cell>
          <cell r="G161">
            <v>87.01</v>
          </cell>
          <cell r="H161">
            <v>106.56</v>
          </cell>
          <cell r="I161">
            <v>106.56</v>
          </cell>
          <cell r="J161">
            <v>7.6059957173447542E-5</v>
          </cell>
        </row>
        <row r="162">
          <cell r="A162" t="str">
            <v>12.24</v>
          </cell>
          <cell r="B162" t="str">
            <v xml:space="preserve"> 94498 </v>
          </cell>
          <cell r="C162" t="str">
            <v>SINAPI</v>
          </cell>
          <cell r="D162" t="str">
            <v>REGISTRO DE GAVETA BRUTO, LATÃO, ROSCÁVEL, 2" - FORNECIMENTO E INSTALAÇÃO. AF_08/2021</v>
          </cell>
          <cell r="E162" t="str">
            <v>UN</v>
          </cell>
          <cell r="F162">
            <v>1</v>
          </cell>
          <cell r="G162">
            <v>120.31</v>
          </cell>
          <cell r="H162">
            <v>147.34</v>
          </cell>
          <cell r="I162">
            <v>147.34</v>
          </cell>
          <cell r="J162">
            <v>1.0516773733047823E-4</v>
          </cell>
        </row>
        <row r="163">
          <cell r="A163" t="str">
            <v>12.25</v>
          </cell>
          <cell r="B163" t="str">
            <v xml:space="preserve"> 94499 </v>
          </cell>
          <cell r="C163" t="str">
            <v>SINAPI</v>
          </cell>
          <cell r="D163" t="str">
            <v>REGISTRO DE GAVETA BRUTO, LATÃO, ROSCÁVEL, 2 1/2" - FORNECIMENTO E INSTALAÇÃO. AF_08/2021</v>
          </cell>
          <cell r="E163" t="str">
            <v>UN</v>
          </cell>
          <cell r="F163">
            <v>2</v>
          </cell>
          <cell r="G163">
            <v>241.42</v>
          </cell>
          <cell r="H163">
            <v>295.66000000000003</v>
          </cell>
          <cell r="I163">
            <v>591.32000000000005</v>
          </cell>
          <cell r="J163">
            <v>4.220699500356888E-4</v>
          </cell>
        </row>
        <row r="164">
          <cell r="A164" t="str">
            <v>12.26</v>
          </cell>
          <cell r="B164" t="str">
            <v xml:space="preserve"> 89985 </v>
          </cell>
          <cell r="C164" t="str">
            <v>SINAPI</v>
          </cell>
          <cell r="D164" t="str">
            <v>REGISTRO DE PRESSÃO BRUTO, LATÃO, ROSCÁVEL, 3/4", COM ACABAMENTO E CANOPLA CROMADOS - FORNECIMENTO E INSTALAÇÃO. AF_08/2021</v>
          </cell>
          <cell r="E164" t="str">
            <v>UN</v>
          </cell>
          <cell r="F164">
            <v>1</v>
          </cell>
          <cell r="G164">
            <v>73.61</v>
          </cell>
          <cell r="H164">
            <v>90.15</v>
          </cell>
          <cell r="I164">
            <v>90.15</v>
          </cell>
          <cell r="J164">
            <v>6.4346895074946463E-5</v>
          </cell>
        </row>
        <row r="165">
          <cell r="A165" t="str">
            <v>12.27</v>
          </cell>
          <cell r="B165" t="str">
            <v xml:space="preserve"> COTAÇÃO </v>
          </cell>
          <cell r="C165" t="str">
            <v>Próprio</v>
          </cell>
          <cell r="D165" t="str">
            <v>CAIXA  DE ÁGUA METÁLICA COMPLETA 15.000 LITROS, PREÇO UNITÁRIO CONFORME MÉDIAS DAS COTAÇÕES</v>
          </cell>
          <cell r="E165" t="str">
            <v>UN</v>
          </cell>
          <cell r="F165">
            <v>1</v>
          </cell>
          <cell r="G165">
            <v>23144.81</v>
          </cell>
          <cell r="H165">
            <v>28345.439999999999</v>
          </cell>
          <cell r="I165">
            <v>28345.439999999999</v>
          </cell>
          <cell r="J165">
            <v>2.0232291220556746E-2</v>
          </cell>
        </row>
        <row r="166">
          <cell r="A166" t="str">
            <v xml:space="preserve"> 13 </v>
          </cell>
          <cell r="B166"/>
          <cell r="C166"/>
          <cell r="D166" t="str">
            <v>INSTALAÇÕES SANITÁRIAS</v>
          </cell>
          <cell r="E166"/>
          <cell r="F166"/>
          <cell r="G166"/>
          <cell r="H166"/>
          <cell r="I166">
            <v>32744.34</v>
          </cell>
          <cell r="J166">
            <v>2.3372119914346894E-2</v>
          </cell>
        </row>
        <row r="167">
          <cell r="A167" t="str">
            <v>13.1</v>
          </cell>
          <cell r="B167" t="str">
            <v xml:space="preserve"> 89711 </v>
          </cell>
          <cell r="C167" t="str">
            <v>SINAPI</v>
          </cell>
          <cell r="D167" t="str">
            <v>TUBO PVC, SERIE NORMAL, ESGOTO PREDIAL, DN 40 MM, FORNECIDO E INSTALADO EM RAMAL DE DESCARGA OU RAMAL DE ESGOTO SANITÁRIO. AF_08/2022</v>
          </cell>
          <cell r="E167" t="str">
            <v>M</v>
          </cell>
          <cell r="F167">
            <v>28</v>
          </cell>
          <cell r="G167">
            <v>14.67</v>
          </cell>
          <cell r="H167">
            <v>17.96</v>
          </cell>
          <cell r="I167">
            <v>502.88</v>
          </cell>
          <cell r="J167">
            <v>3.5894361170592433E-4</v>
          </cell>
        </row>
        <row r="168">
          <cell r="A168" t="str">
            <v>13.2</v>
          </cell>
          <cell r="B168" t="str">
            <v xml:space="preserve"> 89712 </v>
          </cell>
          <cell r="C168" t="str">
            <v>SINAPI</v>
          </cell>
          <cell r="D168" t="str">
            <v>TUBO PVC, SERIE NORMAL, ESGOTO PREDIAL, DN 50 MM, FORNECIDO E INSTALADO EM RAMAL DE DESCARGA OU RAMAL DE ESGOTO SANITÁRIO. AF_08/2022</v>
          </cell>
          <cell r="E168" t="str">
            <v>M</v>
          </cell>
          <cell r="F168">
            <v>25</v>
          </cell>
          <cell r="G168">
            <v>18.93</v>
          </cell>
          <cell r="H168">
            <v>23.18</v>
          </cell>
          <cell r="I168">
            <v>579.5</v>
          </cell>
          <cell r="J168">
            <v>4.1363311920057102E-4</v>
          </cell>
        </row>
        <row r="169">
          <cell r="A169" t="str">
            <v>13.3</v>
          </cell>
          <cell r="B169" t="str">
            <v xml:space="preserve"> 89848 </v>
          </cell>
          <cell r="C169" t="str">
            <v>SINAPI</v>
          </cell>
          <cell r="D169" t="str">
            <v>TUBO PVC, SERIE NORMAL, ESGOTO PREDIAL, DN 100 MM, FORNECIDO E INSTALADO EM SUBCOLETOR AÉREO DE ESGOTO SANITÁRIO. AF_08/2022</v>
          </cell>
          <cell r="E169" t="str">
            <v>M</v>
          </cell>
          <cell r="F169">
            <v>77</v>
          </cell>
          <cell r="G169">
            <v>19.78</v>
          </cell>
          <cell r="H169">
            <v>24.22</v>
          </cell>
          <cell r="I169">
            <v>1864.94</v>
          </cell>
          <cell r="J169">
            <v>1.3311491791577444E-3</v>
          </cell>
        </row>
        <row r="170">
          <cell r="A170" t="str">
            <v>13.4</v>
          </cell>
          <cell r="B170" t="str">
            <v xml:space="preserve"> 89849 </v>
          </cell>
          <cell r="C170" t="str">
            <v>SINAPI</v>
          </cell>
          <cell r="D170" t="str">
            <v>TUBO PVC, SERIE NORMAL, ESGOTO PREDIAL, DN 150 MM, FORNECIDO E INSTALADO EM SUBCOLETOR AÉREO DE ESGOTO SANITÁRIO. AF_08/2022</v>
          </cell>
          <cell r="E170" t="str">
            <v>M</v>
          </cell>
          <cell r="F170">
            <v>2</v>
          </cell>
          <cell r="G170">
            <v>41.63</v>
          </cell>
          <cell r="H170">
            <v>50.98</v>
          </cell>
          <cell r="I170">
            <v>101.96</v>
          </cell>
          <cell r="J170">
            <v>7.2776588151320489E-5</v>
          </cell>
        </row>
        <row r="171">
          <cell r="A171" t="str">
            <v>13.5</v>
          </cell>
          <cell r="B171" t="str">
            <v xml:space="preserve"> 89726 </v>
          </cell>
          <cell r="C171" t="str">
            <v>SINAPI</v>
          </cell>
          <cell r="D171" t="str">
            <v>JOELHO 45 GRAUS, PVC, SERIE NORMAL, ESGOTO PREDIAL, DN 40 MM, JUNTA SOLDÁVEL, FORNECIDO E INSTALADO EM RAMAL DE DESCARGA OU RAMAL DE ESGOTO SANITÁRIO. AF_08/2022</v>
          </cell>
          <cell r="E171" t="str">
            <v>UN</v>
          </cell>
          <cell r="F171">
            <v>4</v>
          </cell>
          <cell r="G171">
            <v>6.87</v>
          </cell>
          <cell r="H171">
            <v>8.41</v>
          </cell>
          <cell r="I171">
            <v>33.64</v>
          </cell>
          <cell r="J171">
            <v>2.4011420413990006E-5</v>
          </cell>
        </row>
        <row r="172">
          <cell r="A172" t="str">
            <v>13.6</v>
          </cell>
          <cell r="B172" t="str">
            <v xml:space="preserve"> 89724 </v>
          </cell>
          <cell r="C172" t="str">
            <v>SINAPI</v>
          </cell>
          <cell r="D172" t="str">
            <v>JOELHO 90 GRAUS, PVC, SERIE NORMAL, ESGOTO PREDIAL, DN 40 MM, JUNTA SOLDÁVEL, FORNECIDO E INSTALADO EM RAMAL DE DESCARGA OU RAMAL DE ESGOTO SANITÁRIO. AF_08/2022</v>
          </cell>
          <cell r="E172" t="str">
            <v>UN</v>
          </cell>
          <cell r="F172">
            <v>20</v>
          </cell>
          <cell r="G172">
            <v>6.69</v>
          </cell>
          <cell r="H172">
            <v>8.19</v>
          </cell>
          <cell r="I172">
            <v>163.80000000000001</v>
          </cell>
          <cell r="J172">
            <v>1.1691648822269807E-4</v>
          </cell>
        </row>
        <row r="173">
          <cell r="A173" t="str">
            <v>13.7</v>
          </cell>
          <cell r="B173" t="str">
            <v xml:space="preserve"> 89809 </v>
          </cell>
          <cell r="C173" t="str">
            <v>SINAPI</v>
          </cell>
          <cell r="D173" t="str">
            <v>JOELHO 90 GRAUS, PVC, SERIE NORMAL, ESGOTO PREDIAL, DN 100 MM, JUNTA ELÁSTICA, FORNECIDO E INSTALADO EM PRUMADA DE ESGOTO SANITÁRIO OU VENTILAÇÃO. AF_08/2022</v>
          </cell>
          <cell r="E173" t="str">
            <v>UN</v>
          </cell>
          <cell r="F173">
            <v>8</v>
          </cell>
          <cell r="G173">
            <v>20.100000000000001</v>
          </cell>
          <cell r="H173">
            <v>24.61</v>
          </cell>
          <cell r="I173">
            <v>196.88</v>
          </cell>
          <cell r="J173">
            <v>1.4052819414703784E-4</v>
          </cell>
        </row>
        <row r="174">
          <cell r="A174" t="str">
            <v>13.8</v>
          </cell>
          <cell r="B174" t="str">
            <v xml:space="preserve"> 89783 </v>
          </cell>
          <cell r="C174" t="str">
            <v>SINAPI</v>
          </cell>
          <cell r="D174" t="str">
            <v>JUNÇÃO SIMPLES, PVC, SERIE NORMAL, ESGOTO PREDIAL, DN 40 MM, JUNTA SOLDÁVEL, FORNECIDO E INSTALADO EM RAMAL DE DESCARGA OU RAMAL DE ESGOTO SANITÁRIO. AF_08/2022</v>
          </cell>
          <cell r="E174" t="str">
            <v>UN</v>
          </cell>
          <cell r="F174">
            <v>9</v>
          </cell>
          <cell r="G174">
            <v>9.84</v>
          </cell>
          <cell r="H174">
            <v>12.05</v>
          </cell>
          <cell r="I174">
            <v>108.45</v>
          </cell>
          <cell r="J174">
            <v>7.740899357601713E-5</v>
          </cell>
        </row>
        <row r="175">
          <cell r="A175" t="str">
            <v>13.9</v>
          </cell>
          <cell r="B175" t="str">
            <v xml:space="preserve"> 89834 </v>
          </cell>
          <cell r="C175" t="str">
            <v>SINAPI</v>
          </cell>
          <cell r="D175" t="str">
            <v>JUNÇÃO SIMPLES, PVC, SERIE NORMAL, ESGOTO PREDIAL, DN 100 X 100 MM, JUNTA ELÁSTICA, FORNECIDO E INSTALADO EM PRUMADA DE ESGOTO SANITÁRIO OU VENTILAÇÃO. AF_08/2022</v>
          </cell>
          <cell r="E175" t="str">
            <v>UN</v>
          </cell>
          <cell r="F175">
            <v>5</v>
          </cell>
          <cell r="G175">
            <v>37.93</v>
          </cell>
          <cell r="H175">
            <v>46.45</v>
          </cell>
          <cell r="I175">
            <v>232.25</v>
          </cell>
          <cell r="J175">
            <v>1.6577444682369736E-4</v>
          </cell>
        </row>
        <row r="176">
          <cell r="A176" t="str">
            <v>13.10</v>
          </cell>
          <cell r="B176" t="str">
            <v xml:space="preserve"> 89834 </v>
          </cell>
          <cell r="C176" t="str">
            <v>SINAPI</v>
          </cell>
          <cell r="D176" t="str">
            <v>JUNÇÃO SIMPLES, PVC, SERIE NORMAL, ESGOTO PREDIAL, DN 100 X 100 MM, JUNTA ELÁSTICA, FORNECIDO E INSTALADO EM PRUMADA DE ESGOTO SANITÁRIO OU VENTILAÇÃO. AF_08/2022</v>
          </cell>
          <cell r="E176" t="str">
            <v>UN</v>
          </cell>
          <cell r="F176">
            <v>3</v>
          </cell>
          <cell r="G176">
            <v>37.93</v>
          </cell>
          <cell r="H176">
            <v>46.45</v>
          </cell>
          <cell r="I176">
            <v>139.35</v>
          </cell>
          <cell r="J176">
            <v>9.9464668094218411E-5</v>
          </cell>
        </row>
        <row r="177">
          <cell r="A177" t="str">
            <v>13.11</v>
          </cell>
          <cell r="B177" t="str">
            <v xml:space="preserve"> 89707 </v>
          </cell>
          <cell r="C177" t="str">
            <v>SINAPI</v>
          </cell>
          <cell r="D177" t="str">
            <v>CAIXA SIFONADA, PVC, DN 100 X 100 X 50 MM, JUNTA ELÁSTICA, FORNECIDA E INSTALADA EM RAMAL DE DESCARGA OU EM RAMAL DE ESGOTO SANITÁRIO. AF_08/2022</v>
          </cell>
          <cell r="E177" t="str">
            <v>UN</v>
          </cell>
          <cell r="F177">
            <v>4</v>
          </cell>
          <cell r="G177">
            <v>29.8</v>
          </cell>
          <cell r="H177">
            <v>36.49</v>
          </cell>
          <cell r="I177">
            <v>145.96</v>
          </cell>
          <cell r="J177">
            <v>1.0418272662384012E-4</v>
          </cell>
        </row>
        <row r="178">
          <cell r="A178" t="str">
            <v>13.12</v>
          </cell>
          <cell r="B178" t="str">
            <v xml:space="preserve"> 89709 </v>
          </cell>
          <cell r="C178" t="str">
            <v>SINAPI</v>
          </cell>
          <cell r="D178" t="str">
            <v>RALO SIFONADO, PVC, DN 100 X 40 MM, JUNTA SOLDÁVEL, FORNECIDO E INSTALADO EM RAMAL DE DESCARGA OU EM RAMAL DE ESGOTO SANITÁRIO. AF_08/2022</v>
          </cell>
          <cell r="E178" t="str">
            <v>UN</v>
          </cell>
          <cell r="F178">
            <v>4</v>
          </cell>
          <cell r="G178">
            <v>12.87</v>
          </cell>
          <cell r="H178">
            <v>15.76</v>
          </cell>
          <cell r="I178">
            <v>63.04</v>
          </cell>
          <cell r="J178">
            <v>4.4996431120628123E-5</v>
          </cell>
        </row>
        <row r="179">
          <cell r="A179" t="str">
            <v>13.13</v>
          </cell>
          <cell r="B179" t="str">
            <v xml:space="preserve"> C3738 </v>
          </cell>
          <cell r="C179" t="str">
            <v>SEINFRA</v>
          </cell>
          <cell r="D179" t="str">
            <v>INSTALAÇÃO DE TUBO DE VENTILAÇÃO 50mm C/ L=4m, C/ REBOCO E PINTURA A CAL (C/ MATERIAL)</v>
          </cell>
          <cell r="E179" t="str">
            <v>UN</v>
          </cell>
          <cell r="F179">
            <v>4</v>
          </cell>
          <cell r="G179">
            <v>41.98</v>
          </cell>
          <cell r="H179">
            <v>51.41</v>
          </cell>
          <cell r="I179">
            <v>205.64</v>
          </cell>
          <cell r="J179">
            <v>1.4678087080656675E-4</v>
          </cell>
        </row>
        <row r="180">
          <cell r="A180" t="str">
            <v>13.14</v>
          </cell>
          <cell r="B180" t="str">
            <v xml:space="preserve"> C0604 </v>
          </cell>
          <cell r="C180" t="str">
            <v>SEINFRA</v>
          </cell>
          <cell r="D180" t="str">
            <v>CAIXA DE INSPEÇÃO EM ALVENARIA - 1 TIJOLO COMUM</v>
          </cell>
          <cell r="E180" t="str">
            <v>m²</v>
          </cell>
          <cell r="F180">
            <v>10</v>
          </cell>
          <cell r="G180">
            <v>214.05</v>
          </cell>
          <cell r="H180">
            <v>262.14</v>
          </cell>
          <cell r="I180">
            <v>2621.4</v>
          </cell>
          <cell r="J180">
            <v>1.8710920770877945E-3</v>
          </cell>
        </row>
        <row r="181">
          <cell r="A181" t="str">
            <v>13.15</v>
          </cell>
          <cell r="B181" t="str">
            <v xml:space="preserve"> 98110 </v>
          </cell>
          <cell r="C181" t="str">
            <v>SINAPI</v>
          </cell>
          <cell r="D181" t="str">
            <v>CAIXA DE GORDURA PEQUENA (CAPACIDADE: 19 L), CIRCULAR, EM PVC, DIÂMETRO INTERNO= 0,3 M. AF_12/2020</v>
          </cell>
          <cell r="E181" t="str">
            <v>UN</v>
          </cell>
          <cell r="F181">
            <v>1</v>
          </cell>
          <cell r="G181">
            <v>233.14</v>
          </cell>
          <cell r="H181">
            <v>285.52</v>
          </cell>
          <cell r="I181">
            <v>285.52</v>
          </cell>
          <cell r="J181">
            <v>2.0379728765167738E-4</v>
          </cell>
        </row>
        <row r="182">
          <cell r="A182" t="str">
            <v>13.16</v>
          </cell>
          <cell r="B182" t="str">
            <v xml:space="preserve"> 98099 </v>
          </cell>
          <cell r="C182" t="str">
            <v>SINAPI</v>
          </cell>
          <cell r="D182" t="str">
            <v>SUMIDOURO RETANGULAR, EM ALVENARIA COM BLOCOS DE CONCRETO, DIMENSÕES INTERNAS: 1,0 X 3,0 X H=3,0 M, ÁREA DE INFILTRAÇÃO: 25 M² (PARA 10 CONTRIBUINTES). AF_12/2020</v>
          </cell>
          <cell r="E182" t="str">
            <v>UN</v>
          </cell>
          <cell r="F182">
            <v>4</v>
          </cell>
          <cell r="G182">
            <v>3049.41</v>
          </cell>
          <cell r="H182">
            <v>3734.61</v>
          </cell>
          <cell r="I182">
            <v>14938.44</v>
          </cell>
          <cell r="J182">
            <v>1.0662698072805139E-2</v>
          </cell>
        </row>
        <row r="183">
          <cell r="A183" t="str">
            <v>13.17</v>
          </cell>
          <cell r="B183" t="str">
            <v xml:space="preserve"> 98087 </v>
          </cell>
          <cell r="C183" t="str">
            <v>SINAPI</v>
          </cell>
          <cell r="D183" t="str">
            <v>TANQUE SÉPTICO RETANGULAR, EM ALVENARIA COM BLOCOS DE CONCRETO, DIMENSÕES INTERNAS: 1,6 X 4,6 X H=2,4 M, VOLUME ÚTIL: 14720 L (PARA 105 CONTRIBUINTES). AF_12/2020</v>
          </cell>
          <cell r="E183" t="str">
            <v>UN</v>
          </cell>
          <cell r="F183">
            <v>1</v>
          </cell>
          <cell r="G183">
            <v>7447.71</v>
          </cell>
          <cell r="H183">
            <v>9121.2099999999991</v>
          </cell>
          <cell r="I183">
            <v>9121.2099999999991</v>
          </cell>
          <cell r="J183">
            <v>6.5104996431120631E-3</v>
          </cell>
        </row>
        <row r="184">
          <cell r="A184" t="str">
            <v>13.18</v>
          </cell>
          <cell r="B184" t="str">
            <v xml:space="preserve"> C4026 </v>
          </cell>
          <cell r="C184" t="str">
            <v>SEINFRA</v>
          </cell>
          <cell r="D184" t="str">
            <v>CANALETA DE CONCRETO 20cm x 20cm C/ TAMPA EM CHAPA DE ALUMÍNIO CORRUGADO</v>
          </cell>
          <cell r="E184" t="str">
            <v>M</v>
          </cell>
          <cell r="F184">
            <v>8.42</v>
          </cell>
          <cell r="G184">
            <v>139.6</v>
          </cell>
          <cell r="H184">
            <v>170.96</v>
          </cell>
          <cell r="I184">
            <v>1439.48</v>
          </cell>
          <cell r="J184">
            <v>1.0274660956459672E-3</v>
          </cell>
        </row>
        <row r="185">
          <cell r="A185" t="str">
            <v xml:space="preserve"> 14 </v>
          </cell>
          <cell r="B185"/>
          <cell r="C185"/>
          <cell r="D185" t="str">
            <v>LOUÇAS, ACESSÓRIOS E METAIS</v>
          </cell>
          <cell r="E185"/>
          <cell r="F185"/>
          <cell r="G185"/>
          <cell r="H185"/>
          <cell r="I185">
            <v>15256.04</v>
          </cell>
          <cell r="J185">
            <v>1.0889393290506781E-2</v>
          </cell>
        </row>
        <row r="186">
          <cell r="A186" t="str">
            <v>14.1</v>
          </cell>
          <cell r="B186" t="str">
            <v xml:space="preserve"> C1151 </v>
          </cell>
          <cell r="C186" t="str">
            <v>SEINFRA</v>
          </cell>
          <cell r="D186" t="str">
            <v>DUCHA P/ WC CROMADO (INSTALADO)</v>
          </cell>
          <cell r="E186" t="str">
            <v>UN</v>
          </cell>
          <cell r="F186">
            <v>2</v>
          </cell>
          <cell r="G186">
            <v>54.87</v>
          </cell>
          <cell r="H186">
            <v>67.19</v>
          </cell>
          <cell r="I186">
            <v>134.38</v>
          </cell>
          <cell r="J186">
            <v>9.5917201998572447E-5</v>
          </cell>
        </row>
        <row r="187">
          <cell r="A187" t="str">
            <v>14.2</v>
          </cell>
          <cell r="B187" t="str">
            <v xml:space="preserve"> 95470 </v>
          </cell>
          <cell r="C187" t="str">
            <v>SINAPI</v>
          </cell>
          <cell r="D187" t="str">
            <v>VASO SANITARIO SIFONADO CONVENCIONAL COM LOUÇA BRANCA, INCLUSO CONJUNTO DE LIGAÇÃO PARA BACIA SANITÁRIA AJUSTÁVEL - FORNECIMENTO E INSTALAÇÃO. AF_10/2016</v>
          </cell>
          <cell r="E187" t="str">
            <v>UN</v>
          </cell>
          <cell r="F187">
            <v>5</v>
          </cell>
          <cell r="G187">
            <v>224.68</v>
          </cell>
          <cell r="H187">
            <v>275.16000000000003</v>
          </cell>
          <cell r="I187">
            <v>1375.8</v>
          </cell>
          <cell r="J187">
            <v>9.8201284796573885E-4</v>
          </cell>
        </row>
        <row r="188">
          <cell r="A188" t="str">
            <v>14.3</v>
          </cell>
          <cell r="B188" t="str">
            <v xml:space="preserve"> 99635 </v>
          </cell>
          <cell r="C188" t="str">
            <v>SINAPI</v>
          </cell>
          <cell r="D188" t="str">
            <v>VÁLVULA DE DESCARGA METÁLICA, BASE 1 1/2", ACABAMENTO METALICO CROMADO - FORNECIMENTO E INSTALAÇÃO. AF_08/2021</v>
          </cell>
          <cell r="E188" t="str">
            <v>UN</v>
          </cell>
          <cell r="F188">
            <v>5</v>
          </cell>
          <cell r="G188">
            <v>228.37</v>
          </cell>
          <cell r="H188">
            <v>279.68</v>
          </cell>
          <cell r="I188">
            <v>1398.4</v>
          </cell>
          <cell r="J188">
            <v>9.9814418272662383E-4</v>
          </cell>
        </row>
        <row r="189">
          <cell r="A189" t="str">
            <v>14.4</v>
          </cell>
          <cell r="B189" t="str">
            <v xml:space="preserve"> 86931 </v>
          </cell>
          <cell r="C189" t="str">
            <v>SINAPI</v>
          </cell>
          <cell r="D189" t="str">
            <v>VASO SANITÁRIO SIFONADO COM CAIXA ACOPLADA LOUÇA BRANCA, INCLUSO ENGATE FLEXÍVEL EM PLÁSTICO BRANCO, 1/2  X 40CM - FORNECIMENTO E INSTALAÇÃO. AF_01/2020</v>
          </cell>
          <cell r="E189" t="str">
            <v>UN</v>
          </cell>
          <cell r="F189">
            <v>3</v>
          </cell>
          <cell r="G189">
            <v>369.68</v>
          </cell>
          <cell r="H189">
            <v>452.74</v>
          </cell>
          <cell r="I189">
            <v>1358.22</v>
          </cell>
          <cell r="J189">
            <v>9.6946466809421836E-4</v>
          </cell>
        </row>
        <row r="190">
          <cell r="A190" t="str">
            <v>14.5</v>
          </cell>
          <cell r="B190" t="str">
            <v xml:space="preserve"> 100858 </v>
          </cell>
          <cell r="C190" t="str">
            <v>SINAPI</v>
          </cell>
          <cell r="D190" t="str">
            <v>MICTÓRIO SIFONADO LOUÇA BRANCA  PADRÃO MÉDIO  FORNECIMENTO E INSTALAÇÃO. AF_01/2020</v>
          </cell>
          <cell r="E190" t="str">
            <v>UN</v>
          </cell>
          <cell r="F190">
            <v>1</v>
          </cell>
          <cell r="G190">
            <v>499.07</v>
          </cell>
          <cell r="H190">
            <v>611.21</v>
          </cell>
          <cell r="I190">
            <v>611.21</v>
          </cell>
          <cell r="J190">
            <v>4.3626695217701642E-4</v>
          </cell>
        </row>
        <row r="191">
          <cell r="A191" t="str">
            <v>14.6</v>
          </cell>
          <cell r="B191" t="str">
            <v xml:space="preserve"> 86904 </v>
          </cell>
          <cell r="C191" t="str">
            <v>SINAPI</v>
          </cell>
          <cell r="D191" t="str">
            <v>LAVATÓRIO LOUÇA BRANCA SUSPENSO, 29,5 X 39CM OU EQUIVALENTE, PADRÃO POPULAR - FORNECIMENTO E INSTALAÇÃO. AF_01/2020</v>
          </cell>
          <cell r="E191" t="str">
            <v>UN</v>
          </cell>
          <cell r="F191">
            <v>5</v>
          </cell>
          <cell r="G191">
            <v>108.2</v>
          </cell>
          <cell r="H191">
            <v>132.51</v>
          </cell>
          <cell r="I191">
            <v>662.55</v>
          </cell>
          <cell r="J191">
            <v>4.7291220556745182E-4</v>
          </cell>
        </row>
        <row r="192">
          <cell r="A192" t="str">
            <v>14.7</v>
          </cell>
          <cell r="B192" t="str">
            <v xml:space="preserve"> 86901 </v>
          </cell>
          <cell r="C192" t="str">
            <v>SINAPI</v>
          </cell>
          <cell r="D192" t="str">
            <v>CUBA DE EMBUTIR OVAL EM LOUÇA BRANCA, 35 X 50CM OU EQUIVALENTE - FORNECIMENTO E INSTALAÇÃO. AF_01/2020</v>
          </cell>
          <cell r="E192" t="str">
            <v>UN</v>
          </cell>
          <cell r="F192">
            <v>6</v>
          </cell>
          <cell r="G192">
            <v>108.44</v>
          </cell>
          <cell r="H192">
            <v>132.80000000000001</v>
          </cell>
          <cell r="I192">
            <v>796.8</v>
          </cell>
          <cell r="J192">
            <v>5.6873661670235544E-4</v>
          </cell>
        </row>
        <row r="193">
          <cell r="A193" t="str">
            <v>14.8</v>
          </cell>
          <cell r="B193" t="str">
            <v xml:space="preserve"> 86906 </v>
          </cell>
          <cell r="C193" t="str">
            <v>SINAPI</v>
          </cell>
          <cell r="D193" t="str">
            <v>TORNEIRA CROMADA DE MESA, 1/2 OU 3/4, PARA LAVATÓRIO, PADRÃO POPULAR - FORNECIMENTO E INSTALAÇÃO. AF_01/2020</v>
          </cell>
          <cell r="E193" t="str">
            <v>UN</v>
          </cell>
          <cell r="F193">
            <v>11</v>
          </cell>
          <cell r="G193">
            <v>45.62</v>
          </cell>
          <cell r="H193">
            <v>55.87</v>
          </cell>
          <cell r="I193">
            <v>614.57000000000005</v>
          </cell>
          <cell r="J193">
            <v>4.3866523911491789E-4</v>
          </cell>
        </row>
        <row r="194">
          <cell r="A194" t="str">
            <v>14.9</v>
          </cell>
          <cell r="B194" t="str">
            <v xml:space="preserve"> 95544 </v>
          </cell>
          <cell r="C194" t="str">
            <v>SINAPI</v>
          </cell>
          <cell r="D194" t="str">
            <v>PAPELEIRA DE PAREDE EM METAL CROMADO SEM TAMPA, INCLUSO FIXAÇÃO. AF_01/2020</v>
          </cell>
          <cell r="E194" t="str">
            <v>UN</v>
          </cell>
          <cell r="F194">
            <v>8</v>
          </cell>
          <cell r="G194">
            <v>20.57</v>
          </cell>
          <cell r="H194">
            <v>25.19</v>
          </cell>
          <cell r="I194">
            <v>201.52</v>
          </cell>
          <cell r="J194">
            <v>1.4384011420413991E-4</v>
          </cell>
        </row>
        <row r="195">
          <cell r="A195" t="str">
            <v>14.10</v>
          </cell>
          <cell r="B195" t="str">
            <v xml:space="preserve"> 100868 </v>
          </cell>
          <cell r="C195" t="str">
            <v>SINAPI</v>
          </cell>
          <cell r="D195" t="str">
            <v>BARRA DE APOIO RETA, EM ACO INOX POLIDO, COMPRIMENTO 80 CM,  FIXADA NA PAREDE - FORNECIMENTO E INSTALAÇÃO. AF_01/2020</v>
          </cell>
          <cell r="E195" t="str">
            <v>UN</v>
          </cell>
          <cell r="F195">
            <v>4</v>
          </cell>
          <cell r="G195">
            <v>251.25</v>
          </cell>
          <cell r="H195">
            <v>307.7</v>
          </cell>
          <cell r="I195">
            <v>1230.8</v>
          </cell>
          <cell r="J195">
            <v>8.7851534618129908E-4</v>
          </cell>
        </row>
        <row r="196">
          <cell r="A196" t="str">
            <v>14.11</v>
          </cell>
          <cell r="B196" t="str">
            <v xml:space="preserve"> 100864 </v>
          </cell>
          <cell r="C196" t="str">
            <v>SINAPI</v>
          </cell>
          <cell r="D196" t="str">
            <v>BARRA DE APOIO EM "L", EM ACO INOX POLIDO 80 X 80 CM, FIXADA NA PAREDE - FORNECIMENTO E INSTALACAO. AF_01/2020</v>
          </cell>
          <cell r="E196" t="str">
            <v>UN</v>
          </cell>
          <cell r="F196">
            <v>2</v>
          </cell>
          <cell r="G196">
            <v>484.83</v>
          </cell>
          <cell r="H196">
            <v>593.77</v>
          </cell>
          <cell r="I196">
            <v>1187.54</v>
          </cell>
          <cell r="J196">
            <v>8.4763740185581722E-4</v>
          </cell>
        </row>
        <row r="197">
          <cell r="A197" t="str">
            <v>14.12</v>
          </cell>
          <cell r="B197" t="str">
            <v xml:space="preserve"> 4287 </v>
          </cell>
          <cell r="C197" t="str">
            <v>ORSE</v>
          </cell>
          <cell r="D197" t="str">
            <v>Dispenser para toalha interfolhada</v>
          </cell>
          <cell r="E197" t="str">
            <v>un</v>
          </cell>
          <cell r="F197">
            <v>9</v>
          </cell>
          <cell r="G197">
            <v>36.630000000000003</v>
          </cell>
          <cell r="H197">
            <v>44.86</v>
          </cell>
          <cell r="I197">
            <v>403.74</v>
          </cell>
          <cell r="J197">
            <v>2.8817987152034261E-4</v>
          </cell>
        </row>
        <row r="198">
          <cell r="A198" t="str">
            <v>14.13</v>
          </cell>
          <cell r="B198" t="str">
            <v xml:space="preserve"> 95547 </v>
          </cell>
          <cell r="C198" t="str">
            <v>SINAPI</v>
          </cell>
          <cell r="D198" t="str">
            <v>SABONETEIRA PLASTICA TIPO DISPENSER PARA SABONETE LIQUIDO COM RESERVATORIO 800 A 1500 ML, INCLUSO FIXAÇÃO. AF_01/2020</v>
          </cell>
          <cell r="E198" t="str">
            <v>UN</v>
          </cell>
          <cell r="F198">
            <v>9</v>
          </cell>
          <cell r="G198">
            <v>71.19</v>
          </cell>
          <cell r="H198">
            <v>87.18</v>
          </cell>
          <cell r="I198">
            <v>784.62</v>
          </cell>
          <cell r="J198">
            <v>5.600428265524625E-4</v>
          </cell>
        </row>
        <row r="199">
          <cell r="A199" t="str">
            <v>14.14</v>
          </cell>
          <cell r="B199" t="str">
            <v xml:space="preserve"> 86919 </v>
          </cell>
          <cell r="C199" t="str">
            <v>SINAPI</v>
          </cell>
          <cell r="D199" t="str">
            <v>TANQUE DE LOUÇA BRANCA COM COLUNA, 30L OU EQUIVALENTE, INCLUSO SIFÃO FLEXÍVEL EM PVC, VÁLVULA METÁLICA E TORNEIRA DE METAL CROMADO PADRÃO MÉDIO - FORNECIMENTO E INSTALAÇÃO. AF_01/2020</v>
          </cell>
          <cell r="E199" t="str">
            <v>UN</v>
          </cell>
          <cell r="F199">
            <v>1</v>
          </cell>
          <cell r="G199">
            <v>642.35</v>
          </cell>
          <cell r="H199">
            <v>786.68</v>
          </cell>
          <cell r="I199">
            <v>786.68</v>
          </cell>
          <cell r="J199">
            <v>5.6151320485367594E-4</v>
          </cell>
        </row>
        <row r="200">
          <cell r="A200" t="str">
            <v>14.15</v>
          </cell>
          <cell r="B200" t="str">
            <v xml:space="preserve"> 86936 </v>
          </cell>
          <cell r="C200" t="str">
            <v>SINAPI</v>
          </cell>
          <cell r="D200" t="str">
            <v>CUBA DE EMBUTIR DE AÇO INOXIDÁVEL MÉDIA, INCLUSO VÁLVULA TIPO AMERICANA E SIFÃO TIPO GARRAFA EM METAL CROMADO - FORNECIMENTO E INSTALAÇÃO. AF_01/2020</v>
          </cell>
          <cell r="E200" t="str">
            <v>UN</v>
          </cell>
          <cell r="F200">
            <v>4</v>
          </cell>
          <cell r="G200">
            <v>331.94</v>
          </cell>
          <cell r="H200">
            <v>406.52</v>
          </cell>
          <cell r="I200">
            <v>1626.08</v>
          </cell>
          <cell r="J200">
            <v>1.1606566738044254E-3</v>
          </cell>
        </row>
        <row r="201">
          <cell r="A201" t="str">
            <v>14.16</v>
          </cell>
          <cell r="B201" t="str">
            <v xml:space="preserve"> 86909 </v>
          </cell>
          <cell r="C201" t="str">
            <v>SINAPI</v>
          </cell>
          <cell r="D201" t="str">
            <v>TORNEIRA CROMADA TUBO MÓVEL, DE MESA, 1/2 OU 3/4, PARA PIA DE COZINHA, PADRÃO ALTO - FORNECIMENTO E INSTALAÇÃO. AF_01/2020</v>
          </cell>
          <cell r="E201" t="str">
            <v>UN</v>
          </cell>
          <cell r="F201">
            <v>5</v>
          </cell>
          <cell r="G201">
            <v>79.23</v>
          </cell>
          <cell r="H201">
            <v>97.03</v>
          </cell>
          <cell r="I201">
            <v>485.15</v>
          </cell>
          <cell r="J201">
            <v>3.4628836545324768E-4</v>
          </cell>
        </row>
        <row r="202">
          <cell r="A202" t="str">
            <v>14.17</v>
          </cell>
          <cell r="B202" t="str">
            <v xml:space="preserve"> 86936 </v>
          </cell>
          <cell r="C202" t="str">
            <v>SINAPI</v>
          </cell>
          <cell r="D202" t="str">
            <v>CUBA DE EMBUTIR DE AÇO INOXIDÁVEL MÉDIA, INCLUSO VÁLVULA TIPO AMERICANA E SIFÃO TIPO GARRAFA EM METAL CROMADO - FORNECIMENTO E INSTALAÇÃO. AF_01/2020</v>
          </cell>
          <cell r="E202" t="str">
            <v>UN</v>
          </cell>
          <cell r="F202">
            <v>2</v>
          </cell>
          <cell r="G202">
            <v>331.94</v>
          </cell>
          <cell r="H202">
            <v>406.52</v>
          </cell>
          <cell r="I202">
            <v>813.04</v>
          </cell>
          <cell r="J202">
            <v>5.8032833690221269E-4</v>
          </cell>
        </row>
        <row r="203">
          <cell r="A203" t="str">
            <v>14.18</v>
          </cell>
          <cell r="B203" t="str">
            <v xml:space="preserve"> C2507 </v>
          </cell>
          <cell r="C203" t="str">
            <v>SEINFRA</v>
          </cell>
          <cell r="D203" t="str">
            <v>TORNEIRA ELÉTRICA AUTOMÁTICA 220V-2800W (INSTALADO)</v>
          </cell>
          <cell r="E203" t="str">
            <v>UN</v>
          </cell>
          <cell r="F203">
            <v>1</v>
          </cell>
          <cell r="G203">
            <v>118.98</v>
          </cell>
          <cell r="H203">
            <v>145.71</v>
          </cell>
          <cell r="I203">
            <v>145.71</v>
          </cell>
          <cell r="J203">
            <v>1.0400428265524626E-4</v>
          </cell>
        </row>
        <row r="204">
          <cell r="A204" t="str">
            <v>14.19</v>
          </cell>
          <cell r="B204" t="str">
            <v xml:space="preserve"> 2025 </v>
          </cell>
          <cell r="C204" t="str">
            <v>ORSE</v>
          </cell>
          <cell r="D204" t="str">
            <v>Chuveiro elétrico de plástico (lorenzetti ou similar)</v>
          </cell>
          <cell r="E204" t="str">
            <v>un</v>
          </cell>
          <cell r="F204">
            <v>1</v>
          </cell>
          <cell r="G204">
            <v>86.46</v>
          </cell>
          <cell r="H204">
            <v>105.88</v>
          </cell>
          <cell r="I204">
            <v>105.88</v>
          </cell>
          <cell r="J204">
            <v>7.5574589578872233E-5</v>
          </cell>
        </row>
        <row r="205">
          <cell r="A205" t="str">
            <v>14.20</v>
          </cell>
          <cell r="B205" t="str">
            <v xml:space="preserve"> 86915 </v>
          </cell>
          <cell r="C205" t="str">
            <v>SINAPI</v>
          </cell>
          <cell r="D205" t="str">
            <v>TORNEIRA CROMADA DE MESA, 1/2 OU 3/4, PARA LAVATÓRIO, PADRÃO MÉDIO - FORNECIMENTO E INSTALAÇÃO. AF_01/2020</v>
          </cell>
          <cell r="E205" t="str">
            <v>UN</v>
          </cell>
          <cell r="F205">
            <v>5</v>
          </cell>
          <cell r="G205">
            <v>87.1</v>
          </cell>
          <cell r="H205">
            <v>106.67</v>
          </cell>
          <cell r="I205">
            <v>533.35</v>
          </cell>
          <cell r="J205">
            <v>3.8069236259814418E-4</v>
          </cell>
        </row>
        <row r="206">
          <cell r="A206" t="str">
            <v xml:space="preserve"> 15 </v>
          </cell>
          <cell r="B206"/>
          <cell r="C206"/>
          <cell r="D206" t="str">
            <v>INSTALAÇÃO DE GÁS COMBUSTÍVEL</v>
          </cell>
          <cell r="E206"/>
          <cell r="F206"/>
          <cell r="G206"/>
          <cell r="H206"/>
          <cell r="I206">
            <v>3188.84</v>
          </cell>
          <cell r="J206">
            <v>2.2761170592433978E-3</v>
          </cell>
        </row>
        <row r="207">
          <cell r="A207" t="str">
            <v>15.1</v>
          </cell>
          <cell r="B207" t="str">
            <v xml:space="preserve"> 94970 </v>
          </cell>
          <cell r="C207" t="str">
            <v>SINAPI</v>
          </cell>
          <cell r="D207" t="str">
            <v>CONCRETO FCK = 20MPA, TRAÇO 1:2,7:3 (EM MASSA SECA DE CIMENTO/ AREIA MÉDIA/ BRITA 1) - PREPARO MECÂNICO COM BETONEIRA 600 L. AF_05/2021</v>
          </cell>
          <cell r="E207" t="str">
            <v>m³</v>
          </cell>
          <cell r="F207">
            <v>0.8</v>
          </cell>
          <cell r="G207">
            <v>322.93</v>
          </cell>
          <cell r="H207">
            <v>395.49</v>
          </cell>
          <cell r="I207">
            <v>316.39</v>
          </cell>
          <cell r="J207">
            <v>2.258315488936474E-4</v>
          </cell>
        </row>
        <row r="208">
          <cell r="A208" t="str">
            <v>15.2</v>
          </cell>
          <cell r="B208" t="str">
            <v xml:space="preserve"> 91341 </v>
          </cell>
          <cell r="C208" t="str">
            <v>SINAPI</v>
          </cell>
          <cell r="D208" t="str">
            <v>PORTA EM ALUMÍNIO DE ABRIR TIPO VENEZIANA COM GUARNIÇÃO, FIXAÇÃO COM PARAFUSOS - FORNECIMENTO E INSTALAÇÃO. AF_12/2019</v>
          </cell>
          <cell r="E208" t="str">
            <v>m²</v>
          </cell>
          <cell r="F208">
            <v>0.16</v>
          </cell>
          <cell r="G208">
            <v>667.29</v>
          </cell>
          <cell r="H208">
            <v>817.23</v>
          </cell>
          <cell r="I208">
            <v>130.75</v>
          </cell>
          <cell r="J208">
            <v>9.3326195574589584E-5</v>
          </cell>
        </row>
        <row r="209">
          <cell r="A209" t="str">
            <v>15.3</v>
          </cell>
          <cell r="B209" t="str">
            <v xml:space="preserve"> 92688 </v>
          </cell>
          <cell r="C209" t="str">
            <v>SINAPI</v>
          </cell>
          <cell r="D209" t="str">
            <v>TUBO DE AÇO GALVANIZADO COM COSTURA, CLASSE MÉDIA, CONEXÃO ROSQUEADA, DN 20 (3/4"), INSTALADO EM RAMAIS E SUB-RAMAIS DE GÁS - FORNECIMENTO E INSTALAÇÃO. AF_10/2020</v>
          </cell>
          <cell r="E209" t="str">
            <v>M</v>
          </cell>
          <cell r="F209">
            <v>7.2</v>
          </cell>
          <cell r="G209">
            <v>28.61</v>
          </cell>
          <cell r="H209">
            <v>35.03</v>
          </cell>
          <cell r="I209">
            <v>252.21</v>
          </cell>
          <cell r="J209">
            <v>1.8002141327623126E-4</v>
          </cell>
        </row>
        <row r="210">
          <cell r="A210" t="str">
            <v>15.4</v>
          </cell>
          <cell r="B210" t="str">
            <v xml:space="preserve"> 92693 </v>
          </cell>
          <cell r="C210" t="str">
            <v>SINAPI</v>
          </cell>
          <cell r="D210" t="str">
            <v>LUVA, EM FERRO GALVANIZADO, CONEXÃO ROSQUEADA, DN 15 (1/2"), INSTALADO EM RAMAIS E SUB-RAMAIS DE GÁS - FORNECIMENTO E INSTALAÇÃO. AF_10/2020</v>
          </cell>
          <cell r="E210" t="str">
            <v>UN</v>
          </cell>
          <cell r="F210">
            <v>2</v>
          </cell>
          <cell r="G210">
            <v>10.050000000000001</v>
          </cell>
          <cell r="H210">
            <v>12.3</v>
          </cell>
          <cell r="I210">
            <v>24.6</v>
          </cell>
          <cell r="J210">
            <v>1.7558886509635974E-5</v>
          </cell>
        </row>
        <row r="211">
          <cell r="A211" t="str">
            <v>15.5</v>
          </cell>
          <cell r="B211" t="str">
            <v xml:space="preserve"> COM-H2023 </v>
          </cell>
          <cell r="C211" t="str">
            <v>Próprio</v>
          </cell>
          <cell r="D211" t="str">
            <v>FITA ANTICORROSIVA 5CM POR 30M, DUAS CAMADAS</v>
          </cell>
          <cell r="E211" t="str">
            <v>UN</v>
          </cell>
          <cell r="F211">
            <v>4</v>
          </cell>
          <cell r="G211">
            <v>85.64</v>
          </cell>
          <cell r="H211">
            <v>104.88</v>
          </cell>
          <cell r="I211">
            <v>419.52</v>
          </cell>
          <cell r="J211">
            <v>2.9944325481798717E-4</v>
          </cell>
        </row>
        <row r="212">
          <cell r="A212" t="str">
            <v>15.6</v>
          </cell>
          <cell r="B212" t="str">
            <v xml:space="preserve"> C1250 </v>
          </cell>
          <cell r="C212" t="str">
            <v>SEINFRA</v>
          </cell>
          <cell r="D212" t="str">
            <v>ENVELOPE DE CONCRETO P/PROTEÇÃO DE TUBO PVC ENTERRADO</v>
          </cell>
          <cell r="E212" t="str">
            <v>M</v>
          </cell>
          <cell r="F212">
            <v>7.28</v>
          </cell>
          <cell r="G212">
            <v>13.76</v>
          </cell>
          <cell r="H212">
            <v>16.850000000000001</v>
          </cell>
          <cell r="I212">
            <v>122.66</v>
          </cell>
          <cell r="J212">
            <v>8.7551748750892223E-5</v>
          </cell>
        </row>
        <row r="213">
          <cell r="A213" t="str">
            <v>15.7</v>
          </cell>
          <cell r="B213" t="str">
            <v xml:space="preserve"> 101917 </v>
          </cell>
          <cell r="C213" t="str">
            <v>SINAPI</v>
          </cell>
          <cell r="D213" t="str">
            <v>MANÔMETRO 0 A 200 PSI (0 A 14 KGF/CM2), D = 50MM - FORNECIMENTO E INSTALAÇÃO. AF_10/2020</v>
          </cell>
          <cell r="E213" t="str">
            <v>UN</v>
          </cell>
          <cell r="F213">
            <v>1</v>
          </cell>
          <cell r="G213">
            <v>108.54</v>
          </cell>
          <cell r="H213">
            <v>132.91999999999999</v>
          </cell>
          <cell r="I213">
            <v>132.91999999999999</v>
          </cell>
          <cell r="J213">
            <v>9.4875089221984295E-5</v>
          </cell>
        </row>
        <row r="214">
          <cell r="A214" t="str">
            <v>15.8</v>
          </cell>
          <cell r="B214" t="str">
            <v xml:space="preserve"> 10881 </v>
          </cell>
          <cell r="C214" t="str">
            <v>ORSE</v>
          </cell>
          <cell r="D214" t="str">
            <v>Regulador de gás 2º estágio de 7 kg/h (instalação gás)</v>
          </cell>
          <cell r="E214" t="str">
            <v>un</v>
          </cell>
          <cell r="F214">
            <v>2</v>
          </cell>
          <cell r="G214">
            <v>41.46</v>
          </cell>
          <cell r="H214">
            <v>50.77</v>
          </cell>
          <cell r="I214">
            <v>101.54</v>
          </cell>
          <cell r="J214">
            <v>7.2476802284082798E-5</v>
          </cell>
        </row>
        <row r="215">
          <cell r="A215" t="str">
            <v>15.9</v>
          </cell>
          <cell r="B215" t="str">
            <v xml:space="preserve"> COM-I2023 </v>
          </cell>
          <cell r="C215" t="str">
            <v>Próprio</v>
          </cell>
          <cell r="D215" t="str">
            <v>INSTALAÇÃO BÁSICA PARA ABRIGO DE GÁS (CAPACIDADE 2 CILINDROS GLP DE 45 KG)</v>
          </cell>
          <cell r="E215" t="str">
            <v>UN</v>
          </cell>
          <cell r="F215">
            <v>1</v>
          </cell>
          <cell r="G215">
            <v>1234.49</v>
          </cell>
          <cell r="H215">
            <v>1511.87</v>
          </cell>
          <cell r="I215">
            <v>1511.87</v>
          </cell>
          <cell r="J215">
            <v>1.0791363311920057E-3</v>
          </cell>
        </row>
        <row r="216">
          <cell r="A216" t="str">
            <v>15.10</v>
          </cell>
          <cell r="B216" t="str">
            <v xml:space="preserve"> COM-J2023 </v>
          </cell>
          <cell r="C216" t="str">
            <v>Próprio</v>
          </cell>
          <cell r="D216" t="str">
            <v>PLACA DE SINALIZAÇÃO EM PVC COD 01(500 X 300 MM) - PROIBIDO FUMAR</v>
          </cell>
          <cell r="E216" t="str">
            <v>UN</v>
          </cell>
          <cell r="F216">
            <v>1</v>
          </cell>
          <cell r="G216">
            <v>72.010000000000005</v>
          </cell>
          <cell r="H216">
            <v>88.19</v>
          </cell>
          <cell r="I216">
            <v>88.19</v>
          </cell>
          <cell r="J216">
            <v>6.2947894361170591E-5</v>
          </cell>
        </row>
        <row r="217">
          <cell r="A217" t="str">
            <v>15.11</v>
          </cell>
          <cell r="B217" t="str">
            <v xml:space="preserve"> COM-K2023 </v>
          </cell>
          <cell r="C217" t="str">
            <v>Próprio</v>
          </cell>
          <cell r="D217" t="str">
            <v>PLACA DE SINALIZAÇÃO EM PVC COD 06 (500X300)MM - PERIGO INFLAMÁVEL</v>
          </cell>
          <cell r="E217" t="str">
            <v>UN</v>
          </cell>
          <cell r="F217">
            <v>1</v>
          </cell>
          <cell r="G217">
            <v>72.010000000000005</v>
          </cell>
          <cell r="H217">
            <v>88.19</v>
          </cell>
          <cell r="I217">
            <v>88.19</v>
          </cell>
          <cell r="J217">
            <v>6.2947894361170591E-5</v>
          </cell>
        </row>
        <row r="218">
          <cell r="A218" t="str">
            <v xml:space="preserve"> 16 </v>
          </cell>
          <cell r="B218"/>
          <cell r="C218"/>
          <cell r="D218" t="str">
            <v>SISTEMA DE PROTEÇÃO CONTRA INCÊNDIO</v>
          </cell>
          <cell r="E218"/>
          <cell r="F218"/>
          <cell r="G218"/>
          <cell r="H218"/>
          <cell r="I218">
            <v>2202.83</v>
          </cell>
          <cell r="J218">
            <v>1.572326909350464E-3</v>
          </cell>
        </row>
        <row r="219">
          <cell r="A219" t="str">
            <v>16.1</v>
          </cell>
          <cell r="B219" t="str">
            <v xml:space="preserve"> 101909 </v>
          </cell>
          <cell r="C219" t="str">
            <v>SINAPI</v>
          </cell>
          <cell r="D219" t="str">
            <v>EXTINTOR DE INCÊNDIO PORTÁTIL COM CARGA DE PQS DE 6 KG, CLASSE BC - FORNECIMENTO E INSTALAÇÃO. AF_10/2020_PE</v>
          </cell>
          <cell r="E219" t="str">
            <v>UN</v>
          </cell>
          <cell r="F219">
            <v>5</v>
          </cell>
          <cell r="G219">
            <v>236.35</v>
          </cell>
          <cell r="H219">
            <v>289.45</v>
          </cell>
          <cell r="I219">
            <v>1447.25</v>
          </cell>
          <cell r="J219">
            <v>1.0330121341898643E-3</v>
          </cell>
        </row>
        <row r="220">
          <cell r="A220" t="str">
            <v>16.2</v>
          </cell>
          <cell r="B220" t="str">
            <v xml:space="preserve"> 97599 </v>
          </cell>
          <cell r="C220" t="str">
            <v>SINAPI</v>
          </cell>
          <cell r="D220" t="str">
            <v>LUMINÁRIA DE EMERGÊNCIA, COM 30 LÂMPADAS LED DE 2 W, SEM REATOR - FORNECIMENTO E INSTALAÇÃO. AF_02/2020</v>
          </cell>
          <cell r="E220" t="str">
            <v>UN</v>
          </cell>
          <cell r="F220">
            <v>16</v>
          </cell>
          <cell r="G220">
            <v>18.53</v>
          </cell>
          <cell r="H220">
            <v>22.69</v>
          </cell>
          <cell r="I220">
            <v>363.04</v>
          </cell>
          <cell r="J220">
            <v>2.5912919343326195E-4</v>
          </cell>
        </row>
        <row r="221">
          <cell r="A221" t="str">
            <v>16.3</v>
          </cell>
          <cell r="B221" t="str">
            <v xml:space="preserve"> 11688 </v>
          </cell>
          <cell r="C221" t="str">
            <v>ORSE</v>
          </cell>
          <cell r="D221" t="str">
            <v>Sinalização horizontal rodoviária, com tinta retrorrefletiva à base de resina acrílica com microesferas de vidro</v>
          </cell>
          <cell r="E221" t="str">
            <v>m²</v>
          </cell>
          <cell r="F221">
            <v>5</v>
          </cell>
          <cell r="G221">
            <v>21.45</v>
          </cell>
          <cell r="H221">
            <v>26.26</v>
          </cell>
          <cell r="I221">
            <v>131.30000000000001</v>
          </cell>
          <cell r="J221">
            <v>9.3718772305496071E-5</v>
          </cell>
        </row>
        <row r="222">
          <cell r="A222" t="str">
            <v>16.4</v>
          </cell>
          <cell r="B222" t="str">
            <v xml:space="preserve"> 12895 </v>
          </cell>
          <cell r="C222" t="str">
            <v>ORSE</v>
          </cell>
          <cell r="D222" t="str">
            <v>Placa de sinalizacao, fotoluminescente, em pvc , rota de fuga</v>
          </cell>
          <cell r="E222" t="str">
            <v>un</v>
          </cell>
          <cell r="F222">
            <v>21</v>
          </cell>
          <cell r="G222">
            <v>10.16</v>
          </cell>
          <cell r="H222">
            <v>12.44</v>
          </cell>
          <cell r="I222">
            <v>261.24</v>
          </cell>
          <cell r="J222">
            <v>1.8646680942184155E-4</v>
          </cell>
        </row>
        <row r="223">
          <cell r="A223" t="str">
            <v xml:space="preserve"> 17 </v>
          </cell>
          <cell r="B223"/>
          <cell r="C223"/>
          <cell r="D223" t="str">
            <v>INSTALAÇÕES ELÉTRICAS E TELEFÔNICAS 220V</v>
          </cell>
          <cell r="E223"/>
          <cell r="F223"/>
          <cell r="G223"/>
          <cell r="H223"/>
          <cell r="I223">
            <v>60978.92</v>
          </cell>
          <cell r="J223">
            <v>4.352528194147038E-2</v>
          </cell>
        </row>
        <row r="224">
          <cell r="A224" t="str">
            <v xml:space="preserve"> 17.1 </v>
          </cell>
          <cell r="B224"/>
          <cell r="C224"/>
          <cell r="D224" t="str">
            <v>QUADRO DE DISTRIBUIÇÃO</v>
          </cell>
          <cell r="E224"/>
          <cell r="F224"/>
          <cell r="G224"/>
          <cell r="H224"/>
          <cell r="I224">
            <v>4457.68</v>
          </cell>
          <cell r="J224">
            <v>3.1817844396859387E-3</v>
          </cell>
        </row>
        <row r="225">
          <cell r="A225" t="str">
            <v>17.1.1</v>
          </cell>
          <cell r="B225" t="str">
            <v xml:space="preserve"> 101875 </v>
          </cell>
          <cell r="C225" t="str">
            <v>SINAPI</v>
          </cell>
          <cell r="D225" t="str">
            <v>QUADRO DE DISTRIBUIÇÃO DE ENERGIA EM CHAPA DE AÇO GALVANIZADO, DE EMBUTIR, COM BARRAMENTO TRIFÁSICO, PARA 12 DISJUNTORES DIN 100A - FORNECIMENTO E INSTALAÇÃO. AF_10/2020</v>
          </cell>
          <cell r="E225" t="str">
            <v>UN</v>
          </cell>
          <cell r="F225">
            <v>2</v>
          </cell>
          <cell r="G225">
            <v>265.12</v>
          </cell>
          <cell r="H225">
            <v>324.69</v>
          </cell>
          <cell r="I225">
            <v>649.38</v>
          </cell>
          <cell r="J225">
            <v>4.635117773019272E-4</v>
          </cell>
        </row>
        <row r="226">
          <cell r="A226" t="str">
            <v>17.1.2</v>
          </cell>
          <cell r="B226" t="str">
            <v xml:space="preserve"> 101883 </v>
          </cell>
          <cell r="C226" t="str">
            <v>SINAPI</v>
          </cell>
          <cell r="D226" t="str">
            <v>QUADRO DE DISTRIBUIÇÃO DE ENERGIA EM CHAPA DE AÇO GALVANIZADO, DE EMBUTIR, COM BARRAMENTO TRIFÁSICO, PARA 18 DISJUNTORES DIN 100A - FORNECIMENTO E INSTALAÇÃO. AF_10/2020</v>
          </cell>
          <cell r="E226" t="str">
            <v>UN</v>
          </cell>
          <cell r="F226">
            <v>1</v>
          </cell>
          <cell r="G226">
            <v>365.55</v>
          </cell>
          <cell r="H226">
            <v>447.68</v>
          </cell>
          <cell r="I226">
            <v>447.68</v>
          </cell>
          <cell r="J226">
            <v>3.1954318344039974E-4</v>
          </cell>
        </row>
        <row r="227">
          <cell r="A227" t="str">
            <v>17.1.3</v>
          </cell>
          <cell r="B227" t="str">
            <v xml:space="preserve"> 100560 </v>
          </cell>
          <cell r="C227" t="str">
            <v>SINAPI</v>
          </cell>
          <cell r="D227" t="str">
            <v>QUADRO DE DISTRIBUIÇÃO PARA TELEFONE N.2, 20X20X12CM EM CHAPA METALICA, DE EMBUTIR, SEM ACESSORIOS, PADRÃO TELEBRAS, FORNECIMENTO E INSTALAÇÃO. AF_11/2019</v>
          </cell>
          <cell r="E227" t="str">
            <v>UN</v>
          </cell>
          <cell r="F227">
            <v>1</v>
          </cell>
          <cell r="G227">
            <v>72.739999999999995</v>
          </cell>
          <cell r="H227">
            <v>89.08</v>
          </cell>
          <cell r="I227">
            <v>89.08</v>
          </cell>
          <cell r="J227">
            <v>6.3583154889364739E-5</v>
          </cell>
        </row>
        <row r="228">
          <cell r="A228" t="str">
            <v>17.1.4</v>
          </cell>
          <cell r="B228" t="str">
            <v xml:space="preserve"> C3579 </v>
          </cell>
          <cell r="C228" t="str">
            <v>SEINFRA</v>
          </cell>
          <cell r="D228" t="str">
            <v>QUADRO DE MEDIÇÃO PADRÃO COELCE - PADRÃO POPULAR</v>
          </cell>
          <cell r="E228" t="str">
            <v>UN</v>
          </cell>
          <cell r="F228">
            <v>1</v>
          </cell>
          <cell r="G228">
            <v>72.709999999999994</v>
          </cell>
          <cell r="H228">
            <v>89.04</v>
          </cell>
          <cell r="I228">
            <v>89.04</v>
          </cell>
          <cell r="J228">
            <v>6.3554603854389718E-5</v>
          </cell>
        </row>
        <row r="229">
          <cell r="A229" t="str">
            <v>17.1.5</v>
          </cell>
          <cell r="B229" t="str">
            <v xml:space="preserve"> 8633 </v>
          </cell>
          <cell r="C229" t="str">
            <v>ORSE</v>
          </cell>
          <cell r="D229" t="str">
            <v>Disjuntor termomagnetico monopolar 10 A, padrão DIN (linha branca) curva de disparo B, corrente de interrupção 5KA, ref.: Siemens 5 SX1 ou similar.</v>
          </cell>
          <cell r="E229" t="str">
            <v>un</v>
          </cell>
          <cell r="F229">
            <v>6</v>
          </cell>
          <cell r="G229">
            <v>13.6</v>
          </cell>
          <cell r="H229">
            <v>16.649999999999999</v>
          </cell>
          <cell r="I229">
            <v>99.9</v>
          </cell>
          <cell r="J229">
            <v>7.130620985010707E-5</v>
          </cell>
        </row>
        <row r="230">
          <cell r="A230" t="str">
            <v>17.1.6</v>
          </cell>
          <cell r="B230" t="str">
            <v xml:space="preserve"> 9518 </v>
          </cell>
          <cell r="C230" t="str">
            <v>ORSE</v>
          </cell>
          <cell r="D230" t="str">
            <v>Disjuntor termomagnético monopolar 25 A, padrão DIN (linha branca), curva de disparo B, corrente de interrupção 5KA, ref.: Siemens 5 SX1 ou similar.</v>
          </cell>
          <cell r="E230" t="str">
            <v>un</v>
          </cell>
          <cell r="F230">
            <v>1</v>
          </cell>
          <cell r="G230">
            <v>14.64</v>
          </cell>
          <cell r="H230">
            <v>17.920000000000002</v>
          </cell>
          <cell r="I230">
            <v>17.920000000000002</v>
          </cell>
          <cell r="J230">
            <v>1.2790863668807995E-5</v>
          </cell>
        </row>
        <row r="231">
          <cell r="A231" t="str">
            <v>17.1.7</v>
          </cell>
          <cell r="B231" t="str">
            <v xml:space="preserve"> 10315 </v>
          </cell>
          <cell r="C231" t="str">
            <v>ORSE</v>
          </cell>
          <cell r="D231" t="str">
            <v>Disjuntor termomagnetico monopolar 32 A, padrão DIN (Europeu - linha branca)</v>
          </cell>
          <cell r="E231" t="str">
            <v>un</v>
          </cell>
          <cell r="F231">
            <v>2</v>
          </cell>
          <cell r="G231">
            <v>15.88</v>
          </cell>
          <cell r="H231">
            <v>19.440000000000001</v>
          </cell>
          <cell r="I231">
            <v>38.880000000000003</v>
          </cell>
          <cell r="J231">
            <v>2.7751605995717344E-5</v>
          </cell>
        </row>
        <row r="232">
          <cell r="A232" t="str">
            <v>17.1.8</v>
          </cell>
          <cell r="B232" t="str">
            <v xml:space="preserve"> C4562 </v>
          </cell>
          <cell r="C232" t="str">
            <v>SEINFRA</v>
          </cell>
          <cell r="D232" t="str">
            <v>DISPOSITIVO DE PROTEÇÃO CONTRA SURTOS DE TENSÃO - DPS's - 40 KA/440V</v>
          </cell>
          <cell r="E232" t="str">
            <v>UN</v>
          </cell>
          <cell r="F232">
            <v>4</v>
          </cell>
          <cell r="G232">
            <v>84.82</v>
          </cell>
          <cell r="H232">
            <v>103.87</v>
          </cell>
          <cell r="I232">
            <v>415.48</v>
          </cell>
          <cell r="J232">
            <v>2.9655960028551032E-4</v>
          </cell>
        </row>
        <row r="233">
          <cell r="A233" t="str">
            <v>17.1.9</v>
          </cell>
          <cell r="B233" t="str">
            <v xml:space="preserve"> 8484 </v>
          </cell>
          <cell r="C233" t="str">
            <v>ORSE</v>
          </cell>
          <cell r="D233" t="str">
            <v>Disjuntor termomagnetico bipolar 10 A, padrão DIN (linha branca)</v>
          </cell>
          <cell r="E233" t="str">
            <v>un</v>
          </cell>
          <cell r="F233">
            <v>23</v>
          </cell>
          <cell r="G233">
            <v>37.19</v>
          </cell>
          <cell r="H233">
            <v>45.54</v>
          </cell>
          <cell r="I233">
            <v>1047.42</v>
          </cell>
          <cell r="J233">
            <v>7.4762312633832977E-4</v>
          </cell>
        </row>
        <row r="234">
          <cell r="A234" t="str">
            <v>17.1.10</v>
          </cell>
          <cell r="B234" t="str">
            <v xml:space="preserve"> 8485 </v>
          </cell>
          <cell r="C234" t="str">
            <v>ORSE</v>
          </cell>
          <cell r="D234" t="str">
            <v>Disjuntor termomagnetico bipolar 13 A, padrão NEMA (linha branca)</v>
          </cell>
          <cell r="E234" t="str">
            <v>un</v>
          </cell>
          <cell r="F234">
            <v>5</v>
          </cell>
          <cell r="G234">
            <v>54.28</v>
          </cell>
          <cell r="H234">
            <v>66.47</v>
          </cell>
          <cell r="I234">
            <v>332.35</v>
          </cell>
          <cell r="J234">
            <v>2.3722341184867951E-4</v>
          </cell>
        </row>
        <row r="235">
          <cell r="A235" t="str">
            <v>17.1.11</v>
          </cell>
          <cell r="B235" t="str">
            <v xml:space="preserve"> 8484 </v>
          </cell>
          <cell r="C235" t="str">
            <v>ORSE</v>
          </cell>
          <cell r="D235" t="str">
            <v>Disjuntor termomagnetico bipolar 10 A, padrão DIN (linha branca)</v>
          </cell>
          <cell r="E235" t="str">
            <v>un</v>
          </cell>
          <cell r="F235">
            <v>11</v>
          </cell>
          <cell r="G235">
            <v>37.19</v>
          </cell>
          <cell r="H235">
            <v>45.54</v>
          </cell>
          <cell r="I235">
            <v>500.94</v>
          </cell>
          <cell r="J235">
            <v>3.57558886509636E-4</v>
          </cell>
        </row>
        <row r="236">
          <cell r="A236" t="str">
            <v>17.1.12</v>
          </cell>
          <cell r="B236" t="str">
            <v xml:space="preserve"> 8485 </v>
          </cell>
          <cell r="C236" t="str">
            <v>ORSE</v>
          </cell>
          <cell r="D236" t="str">
            <v>Disjuntor termomagnetico bipolar 13 A, padrão NEMA (linha branca)</v>
          </cell>
          <cell r="E236" t="str">
            <v>un</v>
          </cell>
          <cell r="F236">
            <v>2</v>
          </cell>
          <cell r="G236">
            <v>54.28</v>
          </cell>
          <cell r="H236">
            <v>66.47</v>
          </cell>
          <cell r="I236">
            <v>132.94</v>
          </cell>
          <cell r="J236">
            <v>9.4889364739471813E-5</v>
          </cell>
        </row>
        <row r="237">
          <cell r="A237" t="str">
            <v>17.1.13</v>
          </cell>
          <cell r="B237" t="str">
            <v xml:space="preserve"> 7995 </v>
          </cell>
          <cell r="C237" t="str">
            <v>ORSE</v>
          </cell>
          <cell r="D237" t="str">
            <v>Disjuntor termomagnetico bipolar 40 A, padrão DIN (Europeu - linha branca), curva C, corrente 5KA</v>
          </cell>
          <cell r="E237" t="str">
            <v>un</v>
          </cell>
          <cell r="F237">
            <v>1</v>
          </cell>
          <cell r="G237">
            <v>57.13</v>
          </cell>
          <cell r="H237">
            <v>69.959999999999994</v>
          </cell>
          <cell r="I237">
            <v>69.959999999999994</v>
          </cell>
          <cell r="J237">
            <v>4.9935760171306208E-5</v>
          </cell>
        </row>
        <row r="238">
          <cell r="A238" t="str">
            <v>17.1.14</v>
          </cell>
          <cell r="B238" t="str">
            <v xml:space="preserve"> 101896 </v>
          </cell>
          <cell r="C238" t="str">
            <v>SINAPI</v>
          </cell>
          <cell r="D238" t="str">
            <v>DISJUNTOR TERMOMAGNÉTICO TRIPOLAR , CORRENTE NOMINAL DE 200A - FORNECIMENTO E INSTALAÇÃO. AF_10/2020</v>
          </cell>
          <cell r="E238" t="str">
            <v>UN</v>
          </cell>
          <cell r="F238">
            <v>1</v>
          </cell>
          <cell r="G238">
            <v>430.08</v>
          </cell>
          <cell r="H238">
            <v>526.71</v>
          </cell>
          <cell r="I238">
            <v>526.71</v>
          </cell>
          <cell r="J238">
            <v>3.759528907922912E-4</v>
          </cell>
        </row>
        <row r="239">
          <cell r="A239" t="str">
            <v xml:space="preserve"> 17.2 </v>
          </cell>
          <cell r="B239"/>
          <cell r="C239"/>
          <cell r="D239" t="str">
            <v>ELETRODUTOS E ACESSÓRIOS</v>
          </cell>
          <cell r="E239"/>
          <cell r="F239"/>
          <cell r="G239"/>
          <cell r="H239"/>
          <cell r="I239">
            <v>20395.740000000002</v>
          </cell>
          <cell r="J239">
            <v>1.4557987152034262E-2</v>
          </cell>
        </row>
        <row r="240">
          <cell r="A240" t="str">
            <v>17.2.1</v>
          </cell>
          <cell r="B240" t="str">
            <v xml:space="preserve"> 91854 </v>
          </cell>
          <cell r="C240" t="str">
            <v>SINAPI</v>
          </cell>
          <cell r="D240" t="str">
            <v>ELETRODUTO FLEXÍVEL CORRUGADO, PVC, DN 25 MM (3/4"), PARA CIRCUITOS TERMINAIS, INSTALADO EM PAREDE - FORNECIMENTO E INSTALAÇÃO. AF_03/2023</v>
          </cell>
          <cell r="E240" t="str">
            <v>M</v>
          </cell>
          <cell r="F240">
            <v>593.29999999999995</v>
          </cell>
          <cell r="G240">
            <v>6.39</v>
          </cell>
          <cell r="H240">
            <v>7.82</v>
          </cell>
          <cell r="I240">
            <v>4639.6000000000004</v>
          </cell>
          <cell r="J240">
            <v>3.3116345467523196E-3</v>
          </cell>
        </row>
        <row r="241">
          <cell r="A241" t="str">
            <v>17.2.2</v>
          </cell>
          <cell r="B241" t="str">
            <v xml:space="preserve"> 91856 </v>
          </cell>
          <cell r="C241" t="str">
            <v>SINAPI</v>
          </cell>
          <cell r="D241" t="str">
            <v>ELETRODUTO FLEXÍVEL CORRUGADO, PVC, DN 32 MM (1"), PARA CIRCUITOS TERMINAIS, INSTALADO EM PAREDE - FORNECIMENTO E INSTALAÇÃO. AF_03/2023</v>
          </cell>
          <cell r="E241" t="str">
            <v>M</v>
          </cell>
          <cell r="F241">
            <v>199.5</v>
          </cell>
          <cell r="G241">
            <v>8.2799999999999994</v>
          </cell>
          <cell r="H241">
            <v>10.14</v>
          </cell>
          <cell r="I241">
            <v>2022.93</v>
          </cell>
          <cell r="J241">
            <v>1.4439186295503211E-3</v>
          </cell>
        </row>
        <row r="242">
          <cell r="A242" t="str">
            <v>17.2.3</v>
          </cell>
          <cell r="B242" t="str">
            <v xml:space="preserve"> 93008 </v>
          </cell>
          <cell r="C242" t="str">
            <v>SINAPI</v>
          </cell>
          <cell r="D242" t="str">
            <v>ELETRODUTO RÍGIDO ROSCÁVEL, PVC, DN 50 MM (1 1/2"), PARA REDE ENTERRADA DE DISTRIBUIÇÃO DE ENERGIA ELÉTRICA - FORNECIMENTO E INSTALAÇÃO. AF_12/2021</v>
          </cell>
          <cell r="E242" t="str">
            <v>M</v>
          </cell>
          <cell r="F242">
            <v>159.5</v>
          </cell>
          <cell r="G242">
            <v>12.97</v>
          </cell>
          <cell r="H242">
            <v>15.88</v>
          </cell>
          <cell r="I242">
            <v>2532.86</v>
          </cell>
          <cell r="J242">
            <v>1.8078943611705923E-3</v>
          </cell>
        </row>
        <row r="243">
          <cell r="A243" t="str">
            <v>17.2.4</v>
          </cell>
          <cell r="B243" t="str">
            <v xml:space="preserve"> 93009 </v>
          </cell>
          <cell r="C243" t="str">
            <v>SINAPI</v>
          </cell>
          <cell r="D243" t="str">
            <v>ELETRODUTO RÍGIDO ROSCÁVEL, PVC, DN 60 MM (2"), PARA REDE ENTERRADA DE DISTRIBUIÇÃO DE ENERGIA ELÉTRICA - FORNECIMENTO E INSTALAÇÃO. AF_12/2021</v>
          </cell>
          <cell r="E243" t="str">
            <v>M</v>
          </cell>
          <cell r="F243">
            <v>102.4</v>
          </cell>
          <cell r="G243">
            <v>19.38</v>
          </cell>
          <cell r="H243">
            <v>23.73</v>
          </cell>
          <cell r="I243">
            <v>2429.9499999999998</v>
          </cell>
          <cell r="J243">
            <v>1.7344396859386153E-3</v>
          </cell>
        </row>
        <row r="244">
          <cell r="A244" t="str">
            <v>17.2.5</v>
          </cell>
          <cell r="B244" t="str">
            <v xml:space="preserve"> 93011 </v>
          </cell>
          <cell r="C244" t="str">
            <v>SINAPI</v>
          </cell>
          <cell r="D244" t="str">
            <v>ELETRODUTO RÍGIDO ROSCÁVEL, PVC, DN 85 MM (3"), PARA REDE ENTERRADA DE DISTRIBUIÇÃO DE ENERGIA ELÉTRICA - FORNECIMENTO E INSTALAÇÃO. AF_12/2021</v>
          </cell>
          <cell r="E244" t="str">
            <v>M</v>
          </cell>
          <cell r="F244">
            <v>80</v>
          </cell>
          <cell r="G244">
            <v>33.32</v>
          </cell>
          <cell r="H244">
            <v>40.799999999999997</v>
          </cell>
          <cell r="I244">
            <v>3264</v>
          </cell>
          <cell r="J244">
            <v>2.3297644539614559E-3</v>
          </cell>
        </row>
        <row r="245">
          <cell r="A245" t="str">
            <v>17.2.6</v>
          </cell>
          <cell r="B245" t="str">
            <v xml:space="preserve"> 92662 </v>
          </cell>
          <cell r="C245" t="str">
            <v>SINAPI</v>
          </cell>
          <cell r="D245" t="str">
            <v>LUVA, EM FERRO GALVANIZADO, CONEXÃO ROSQUEADA, DN 40 (1 1/2"), INSTALADO EM REDE DE ALIMENTAÇÃO PARA SPRINKLER - FORNECIMENTO E INSTALAÇÃO. AF_10/2020</v>
          </cell>
          <cell r="E245" t="str">
            <v>UN</v>
          </cell>
          <cell r="F245">
            <v>9</v>
          </cell>
          <cell r="G245">
            <v>27.85</v>
          </cell>
          <cell r="H245">
            <v>34.1</v>
          </cell>
          <cell r="I245">
            <v>306.89999999999998</v>
          </cell>
          <cell r="J245">
            <v>2.1905781584582442E-4</v>
          </cell>
        </row>
        <row r="246">
          <cell r="A246" t="str">
            <v>17.2.7</v>
          </cell>
          <cell r="B246" t="str">
            <v xml:space="preserve"> 92693 </v>
          </cell>
          <cell r="C246" t="str">
            <v>SINAPI</v>
          </cell>
          <cell r="D246" t="str">
            <v>LUVA, EM FERRO GALVANIZADO, CONEXÃO ROSQUEADA, DN 15 (1/2"), INSTALADO EM RAMAIS E SUB-RAMAIS DE GÁS - FORNECIMENTO E INSTALAÇÃO. AF_10/2020</v>
          </cell>
          <cell r="E246" t="str">
            <v>UN</v>
          </cell>
          <cell r="F246">
            <v>2</v>
          </cell>
          <cell r="G246">
            <v>10.050000000000001</v>
          </cell>
          <cell r="H246">
            <v>12.3</v>
          </cell>
          <cell r="I246">
            <v>24.6</v>
          </cell>
          <cell r="J246">
            <v>1.7558886509635974E-5</v>
          </cell>
        </row>
        <row r="247">
          <cell r="A247" t="str">
            <v>17.2.8</v>
          </cell>
          <cell r="B247" t="str">
            <v xml:space="preserve"> COM-L2023 </v>
          </cell>
          <cell r="C247" t="str">
            <v>Próprio</v>
          </cell>
          <cell r="D247" t="str">
            <v>CAIXA DE PASSAGEM 30X30X40CM COM TAMPA E DRENO DE BRITA</v>
          </cell>
          <cell r="E247" t="str">
            <v>UN</v>
          </cell>
          <cell r="F247">
            <v>9</v>
          </cell>
          <cell r="G247">
            <v>154.57</v>
          </cell>
          <cell r="H247">
            <v>189.3</v>
          </cell>
          <cell r="I247">
            <v>1703.7</v>
          </cell>
          <cell r="J247">
            <v>1.2160599571734475E-3</v>
          </cell>
        </row>
        <row r="248">
          <cell r="A248" t="str">
            <v>17.2.9</v>
          </cell>
          <cell r="B248" t="str">
            <v xml:space="preserve"> COM-M2023 </v>
          </cell>
          <cell r="C248" t="str">
            <v>Próprio</v>
          </cell>
          <cell r="D248" t="str">
            <v>CAIXA DE PASSAGEM 30X30X40CM COM TAMPA E DRENO DE BRITA PARA TELEFONE</v>
          </cell>
          <cell r="E248" t="str">
            <v>UN</v>
          </cell>
          <cell r="F248">
            <v>5</v>
          </cell>
          <cell r="G248">
            <v>154.57</v>
          </cell>
          <cell r="H248">
            <v>189.3</v>
          </cell>
          <cell r="I248">
            <v>946.5</v>
          </cell>
          <cell r="J248">
            <v>6.7558886509635975E-4</v>
          </cell>
        </row>
        <row r="249">
          <cell r="A249" t="str">
            <v>17.2.10</v>
          </cell>
          <cell r="B249" t="str">
            <v xml:space="preserve"> 91944 </v>
          </cell>
          <cell r="C249" t="str">
            <v>SINAPI</v>
          </cell>
          <cell r="D249" t="str">
            <v>CAIXA RETANGULAR 4" X 4" BAIXA (0,30 M DO PISO), PVC, INSTALADA EM PAREDE - FORNECIMENTO E INSTALAÇÃO. AF_03/2023</v>
          </cell>
          <cell r="E249" t="str">
            <v>UN</v>
          </cell>
          <cell r="F249">
            <v>5</v>
          </cell>
          <cell r="G249">
            <v>8.02</v>
          </cell>
          <cell r="H249">
            <v>9.82</v>
          </cell>
          <cell r="I249">
            <v>49.1</v>
          </cell>
          <cell r="J249">
            <v>3.5046395431834402E-5</v>
          </cell>
        </row>
        <row r="250">
          <cell r="A250" t="str">
            <v>17.2.11</v>
          </cell>
          <cell r="B250" t="str">
            <v xml:space="preserve"> 91941 </v>
          </cell>
          <cell r="C250" t="str">
            <v>SINAPI</v>
          </cell>
          <cell r="D250" t="str">
            <v>CAIXA RETANGULAR 4" X 2" BAIXA (0,30 M DO PISO), PVC, INSTALADA EM PAREDE - FORNECIMENTO E INSTALAÇÃO. AF_03/2023</v>
          </cell>
          <cell r="E250" t="str">
            <v>UN</v>
          </cell>
          <cell r="F250">
            <v>88</v>
          </cell>
          <cell r="G250">
            <v>6.77</v>
          </cell>
          <cell r="H250">
            <v>8.2899999999999991</v>
          </cell>
          <cell r="I250">
            <v>729.52</v>
          </cell>
          <cell r="J250">
            <v>5.2071377587437539E-4</v>
          </cell>
        </row>
        <row r="251">
          <cell r="A251" t="str">
            <v>17.2.12</v>
          </cell>
          <cell r="B251" t="str">
            <v xml:space="preserve"> 91937 </v>
          </cell>
          <cell r="C251" t="str">
            <v>SINAPI</v>
          </cell>
          <cell r="D251" t="str">
            <v>CAIXA OCTOGONAL 3" X 3", PVC, INSTALADA EM LAJE - FORNECIMENTO E INSTALAÇÃO. AF_03/2023</v>
          </cell>
          <cell r="E251" t="str">
            <v>UN</v>
          </cell>
          <cell r="F251">
            <v>147</v>
          </cell>
          <cell r="G251">
            <v>9.0500000000000007</v>
          </cell>
          <cell r="H251">
            <v>11.08</v>
          </cell>
          <cell r="I251">
            <v>1628.76</v>
          </cell>
          <cell r="J251">
            <v>1.1625695931477516E-3</v>
          </cell>
        </row>
        <row r="252">
          <cell r="A252" t="str">
            <v>17.2.13</v>
          </cell>
          <cell r="B252" t="str">
            <v xml:space="preserve"> C0671 </v>
          </cell>
          <cell r="C252" t="str">
            <v>SEINFRA</v>
          </cell>
          <cell r="D252" t="str">
            <v>CANALETA PLÁSTICA (110 X 20)MM, SISTEMA "X"</v>
          </cell>
          <cell r="E252" t="str">
            <v>M</v>
          </cell>
          <cell r="F252">
            <v>2</v>
          </cell>
          <cell r="G252">
            <v>47.9</v>
          </cell>
          <cell r="H252">
            <v>58.66</v>
          </cell>
          <cell r="I252">
            <v>117.32</v>
          </cell>
          <cell r="J252">
            <v>8.3740185581727335E-5</v>
          </cell>
        </row>
        <row r="253">
          <cell r="A253" t="str">
            <v xml:space="preserve"> 17.3 </v>
          </cell>
          <cell r="B253"/>
          <cell r="C253"/>
          <cell r="D253" t="str">
            <v>CABOS E FIOS CONDUTORES</v>
          </cell>
          <cell r="E253"/>
          <cell r="F253"/>
          <cell r="G253"/>
          <cell r="H253"/>
          <cell r="I253">
            <v>24117.040000000001</v>
          </cell>
          <cell r="J253">
            <v>1.721416131334761E-2</v>
          </cell>
        </row>
        <row r="254">
          <cell r="A254" t="str">
            <v>17.3.1</v>
          </cell>
          <cell r="B254" t="str">
            <v xml:space="preserve"> 91924 </v>
          </cell>
          <cell r="C254" t="str">
            <v>SINAPI</v>
          </cell>
          <cell r="D254" t="str">
            <v>CABO DE COBRE FLEXÍVEL ISOLADO, 1,5 MM², ANTI-CHAMA 450/750 V, PARA CIRCUITOS TERMINAIS - FORNECIMENTO E INSTALAÇÃO. AF_03/2023</v>
          </cell>
          <cell r="E254" t="str">
            <v>M</v>
          </cell>
          <cell r="F254">
            <v>1520</v>
          </cell>
          <cell r="G254">
            <v>1.97</v>
          </cell>
          <cell r="H254">
            <v>2.41</v>
          </cell>
          <cell r="I254">
            <v>3663.2</v>
          </cell>
          <cell r="J254">
            <v>2.6147037830121342E-3</v>
          </cell>
        </row>
        <row r="255">
          <cell r="A255" t="str">
            <v>17.3.2</v>
          </cell>
          <cell r="B255" t="str">
            <v xml:space="preserve"> 91926 </v>
          </cell>
          <cell r="C255" t="str">
            <v>SINAPI</v>
          </cell>
          <cell r="D255" t="str">
            <v>CABO DE COBRE FLEXÍVEL ISOLADO, 2,5 MM², ANTI-CHAMA 450/750 V, PARA CIRCUITOS TERMINAIS - FORNECIMENTO E INSTALAÇÃO. AF_03/2023</v>
          </cell>
          <cell r="E255" t="str">
            <v>M</v>
          </cell>
          <cell r="F255">
            <v>2357.1999999999998</v>
          </cell>
          <cell r="G255">
            <v>2.88</v>
          </cell>
          <cell r="H255">
            <v>3.52</v>
          </cell>
          <cell r="I255">
            <v>8297.34</v>
          </cell>
          <cell r="J255">
            <v>5.9224411134903643E-3</v>
          </cell>
        </row>
        <row r="256">
          <cell r="A256" t="str">
            <v>17.3.3</v>
          </cell>
          <cell r="B256" t="str">
            <v xml:space="preserve"> 101888 </v>
          </cell>
          <cell r="C256" t="str">
            <v>SINAPI</v>
          </cell>
          <cell r="D256" t="str">
            <v>CABO DE COBRE ISOLADO, 25 MM², ANTI-CHAMA 450/750 V, INSTALADO EM ELETROCALHA OU PERFILADO - FORNECIMENTO E INSTALAÇÃO. AF_10/2020</v>
          </cell>
          <cell r="E256" t="str">
            <v>M</v>
          </cell>
          <cell r="F256">
            <v>56.8</v>
          </cell>
          <cell r="G256">
            <v>16.5</v>
          </cell>
          <cell r="H256">
            <v>20.2</v>
          </cell>
          <cell r="I256">
            <v>1147.3599999999999</v>
          </cell>
          <cell r="J256">
            <v>8.1895788722341186E-4</v>
          </cell>
        </row>
        <row r="257">
          <cell r="A257" t="str">
            <v>17.3.4</v>
          </cell>
          <cell r="B257" t="str">
            <v xml:space="preserve"> 00039234 </v>
          </cell>
          <cell r="C257" t="str">
            <v>SINAPI</v>
          </cell>
          <cell r="D257" t="str">
            <v>CABO DE COBRE, FLEXIVEL, CLASSE 4 OU 5, ISOLACAO EM PVC/A, ANTICHAMA BWF-B, 1 CONDUTOR, 450/750 V, SECAO NOMINAL 50 MM2</v>
          </cell>
          <cell r="E257" t="str">
            <v>M</v>
          </cell>
          <cell r="F257">
            <v>113.6</v>
          </cell>
          <cell r="G257">
            <v>31.8</v>
          </cell>
          <cell r="H257">
            <v>38.94</v>
          </cell>
          <cell r="I257">
            <v>4423.58</v>
          </cell>
          <cell r="J257">
            <v>3.1574446823697359E-3</v>
          </cell>
        </row>
        <row r="258">
          <cell r="A258" t="str">
            <v>17.3.5</v>
          </cell>
          <cell r="B258" t="str">
            <v xml:space="preserve"> C0539 </v>
          </cell>
          <cell r="C258" t="str">
            <v>SEINFRA</v>
          </cell>
          <cell r="D258" t="str">
            <v>CABO ISOLADO PVC 750V 95MM2</v>
          </cell>
          <cell r="E258" t="str">
            <v>M</v>
          </cell>
          <cell r="F258">
            <v>12.9</v>
          </cell>
          <cell r="G258">
            <v>49.18</v>
          </cell>
          <cell r="H258">
            <v>60.23</v>
          </cell>
          <cell r="I258">
            <v>776.96</v>
          </cell>
          <cell r="J258">
            <v>5.5457530335474656E-4</v>
          </cell>
        </row>
        <row r="259">
          <cell r="A259" t="str">
            <v>17.3.6</v>
          </cell>
          <cell r="B259" t="str">
            <v xml:space="preserve"> C0526 </v>
          </cell>
          <cell r="C259" t="str">
            <v>SEINFRA</v>
          </cell>
          <cell r="D259" t="str">
            <v>CABO ISOLADO PVC 750V 150MM2</v>
          </cell>
          <cell r="E259" t="str">
            <v>M</v>
          </cell>
          <cell r="F259">
            <v>51.6</v>
          </cell>
          <cell r="G259">
            <v>78.02</v>
          </cell>
          <cell r="H259">
            <v>95.55</v>
          </cell>
          <cell r="I259">
            <v>4930.38</v>
          </cell>
          <cell r="J259">
            <v>3.5191862955032118E-3</v>
          </cell>
        </row>
        <row r="260">
          <cell r="A260" t="str">
            <v>17.3.7</v>
          </cell>
          <cell r="B260" t="str">
            <v xml:space="preserve"> 98281 </v>
          </cell>
          <cell r="C260" t="str">
            <v>SINAPI</v>
          </cell>
          <cell r="D260" t="str">
            <v>CABO TELEFÔNICO CCI-50 2 PARES, SEM BLINDAGEM, INSTALADO EM DISTRIBUIÇÃO DE EDIFICAÇÃO RESIDENCIAL - FORNECIMENTO E INSTALAÇÃO. AF_11/2019</v>
          </cell>
          <cell r="E260" t="str">
            <v>M</v>
          </cell>
          <cell r="F260">
            <v>52.6</v>
          </cell>
          <cell r="G260">
            <v>5.48</v>
          </cell>
          <cell r="H260">
            <v>6.71</v>
          </cell>
          <cell r="I260">
            <v>352.94</v>
          </cell>
          <cell r="J260">
            <v>2.5192005710206997E-4</v>
          </cell>
        </row>
        <row r="261">
          <cell r="A261" t="str">
            <v>17.3.8</v>
          </cell>
          <cell r="B261" t="str">
            <v xml:space="preserve"> C0560 </v>
          </cell>
          <cell r="C261" t="str">
            <v>SEINFRA</v>
          </cell>
          <cell r="D261" t="str">
            <v>CABO TELEFÔNICO CCE - 2</v>
          </cell>
          <cell r="E261" t="str">
            <v>M</v>
          </cell>
          <cell r="F261">
            <v>53.6</v>
          </cell>
          <cell r="G261">
            <v>8.01</v>
          </cell>
          <cell r="H261">
            <v>9.8000000000000007</v>
          </cell>
          <cell r="I261">
            <v>525.28</v>
          </cell>
          <cell r="J261">
            <v>3.7493219129193435E-4</v>
          </cell>
        </row>
        <row r="262">
          <cell r="A262" t="str">
            <v xml:space="preserve"> 17.4 </v>
          </cell>
          <cell r="B262"/>
          <cell r="C262"/>
          <cell r="D262" t="str">
            <v>ILUMINAÇÃO E TOMADAS</v>
          </cell>
          <cell r="E262"/>
          <cell r="F262"/>
          <cell r="G262"/>
          <cell r="H262"/>
          <cell r="I262">
            <v>12008.46</v>
          </cell>
          <cell r="J262">
            <v>8.5713490364025691E-3</v>
          </cell>
        </row>
        <row r="263">
          <cell r="A263" t="str">
            <v>17.4.1</v>
          </cell>
          <cell r="B263" t="str">
            <v xml:space="preserve"> 92000 </v>
          </cell>
          <cell r="C263" t="str">
            <v>SINAPI</v>
          </cell>
          <cell r="D263" t="str">
            <v>TOMADA BAIXA DE EMBUTIR (1 MÓDULO), 2P+T 10 A, INCLUINDO SUPORTE E PLACA - FORNECIMENTO E INSTALAÇÃO. AF_03/2023</v>
          </cell>
          <cell r="E263" t="str">
            <v>UN</v>
          </cell>
          <cell r="F263">
            <v>56</v>
          </cell>
          <cell r="G263">
            <v>20.29</v>
          </cell>
          <cell r="H263">
            <v>24.84</v>
          </cell>
          <cell r="I263">
            <v>1391.04</v>
          </cell>
          <cell r="J263">
            <v>9.9289079229122066E-4</v>
          </cell>
        </row>
        <row r="264">
          <cell r="A264" t="str">
            <v>17.4.2</v>
          </cell>
          <cell r="B264" t="str">
            <v xml:space="preserve"> 92001 </v>
          </cell>
          <cell r="C264" t="str">
            <v>SINAPI</v>
          </cell>
          <cell r="D264" t="str">
            <v>TOMADA BAIXA DE EMBUTIR (1 MÓDULO), 2P+T 20 A, INCLUINDO SUPORTE E PLACA - FORNECIMENTO E INSTALAÇÃO. AF_03/2023</v>
          </cell>
          <cell r="E264" t="str">
            <v>UN</v>
          </cell>
          <cell r="F264">
            <v>4</v>
          </cell>
          <cell r="G264">
            <v>21.73</v>
          </cell>
          <cell r="H264">
            <v>26.61</v>
          </cell>
          <cell r="I264">
            <v>106.44</v>
          </cell>
          <cell r="J264">
            <v>7.5974304068522478E-5</v>
          </cell>
        </row>
        <row r="265">
          <cell r="A265" t="str">
            <v>17.4.3</v>
          </cell>
          <cell r="B265" t="str">
            <v xml:space="preserve"> 91953 </v>
          </cell>
          <cell r="C265" t="str">
            <v>SINAPI</v>
          </cell>
          <cell r="D265" t="str">
            <v>INTERRUPTOR SIMPLES (1 MÓDULO), 10A/250V, INCLUINDO SUPORTE E PLACA - FORNECIMENTO E INSTALAÇÃO. AF_03/2023</v>
          </cell>
          <cell r="E265" t="str">
            <v>UN</v>
          </cell>
          <cell r="F265">
            <v>7</v>
          </cell>
          <cell r="G265">
            <v>19.34</v>
          </cell>
          <cell r="H265">
            <v>23.68</v>
          </cell>
          <cell r="I265">
            <v>165.76</v>
          </cell>
          <cell r="J265">
            <v>1.1831548893647394E-4</v>
          </cell>
        </row>
        <row r="266">
          <cell r="A266" t="str">
            <v>17.4.4</v>
          </cell>
          <cell r="B266" t="str">
            <v xml:space="preserve"> 91959 </v>
          </cell>
          <cell r="C266" t="str">
            <v>SINAPI</v>
          </cell>
          <cell r="D266" t="str">
            <v>INTERRUPTOR SIMPLES (2 MÓDULOS), 10A/250V, INCLUINDO SUPORTE E PLACA - FORNECIMENTO E INSTALAÇÃO. AF_03/2023</v>
          </cell>
          <cell r="E266" t="str">
            <v>UN</v>
          </cell>
          <cell r="F266">
            <v>1</v>
          </cell>
          <cell r="G266">
            <v>29.48</v>
          </cell>
          <cell r="H266">
            <v>36.1</v>
          </cell>
          <cell r="I266">
            <v>36.1</v>
          </cell>
          <cell r="J266">
            <v>2.5767309064953605E-5</v>
          </cell>
        </row>
        <row r="267">
          <cell r="A267" t="str">
            <v>17.4.5</v>
          </cell>
          <cell r="B267" t="str">
            <v xml:space="preserve"> 91967 </v>
          </cell>
          <cell r="C267" t="str">
            <v>SINAPI</v>
          </cell>
          <cell r="D267" t="str">
            <v>INTERRUPTOR SIMPLES (3 MÓDULOS), 10A/250V, INCLUINDO SUPORTE E PLACA - FORNECIMENTO E INSTALAÇÃO. AF_03/2023</v>
          </cell>
          <cell r="E267" t="str">
            <v>UN</v>
          </cell>
          <cell r="F267">
            <v>11</v>
          </cell>
          <cell r="G267">
            <v>39.619999999999997</v>
          </cell>
          <cell r="H267">
            <v>48.52</v>
          </cell>
          <cell r="I267">
            <v>533.72</v>
          </cell>
          <cell r="J267">
            <v>3.809564596716631E-4</v>
          </cell>
        </row>
        <row r="268">
          <cell r="A268" t="str">
            <v>17.4.6</v>
          </cell>
          <cell r="B268" t="str">
            <v xml:space="preserve"> 92023 </v>
          </cell>
          <cell r="C268" t="str">
            <v>SINAPI</v>
          </cell>
          <cell r="D268" t="str">
            <v>INTERRUPTOR SIMPLES (1 MÓDULO) COM 1 TOMADA DE EMBUTIR 2P+T 10 A, INCLUINDO SUPORTE E PLACA - FORNECIMENTO E INSTALAÇÃO. AF_03/2023</v>
          </cell>
          <cell r="E268" t="str">
            <v>UN</v>
          </cell>
          <cell r="F268">
            <v>3</v>
          </cell>
          <cell r="G268">
            <v>32.89</v>
          </cell>
          <cell r="H268">
            <v>40.28</v>
          </cell>
          <cell r="I268">
            <v>120.84</v>
          </cell>
          <cell r="J268">
            <v>8.6252676659528905E-5</v>
          </cell>
        </row>
        <row r="269">
          <cell r="A269" t="str">
            <v>17.4.7</v>
          </cell>
          <cell r="B269" t="str">
            <v xml:space="preserve"> C2298 </v>
          </cell>
          <cell r="C269" t="str">
            <v>SEINFRA</v>
          </cell>
          <cell r="D269" t="str">
            <v>TAMPA CEGA PLÁSTICA, SISTEMA "X"</v>
          </cell>
          <cell r="E269" t="str">
            <v>UN</v>
          </cell>
          <cell r="F269">
            <v>7</v>
          </cell>
          <cell r="G269">
            <v>9.89</v>
          </cell>
          <cell r="H269">
            <v>12.11</v>
          </cell>
          <cell r="I269">
            <v>84.77</v>
          </cell>
          <cell r="J269">
            <v>6.0506780870806567E-5</v>
          </cell>
        </row>
        <row r="270">
          <cell r="A270" t="str">
            <v>17.4.8</v>
          </cell>
          <cell r="B270" t="str">
            <v xml:space="preserve"> C1638 </v>
          </cell>
          <cell r="C270" t="str">
            <v>SEINFRA</v>
          </cell>
          <cell r="D270" t="str">
            <v>LUMINÁRIA FLUORESCENTE COMPLETA (2 X 32)W</v>
          </cell>
          <cell r="E270" t="str">
            <v>UN</v>
          </cell>
          <cell r="F270">
            <v>74</v>
          </cell>
          <cell r="G270">
            <v>86.64</v>
          </cell>
          <cell r="H270">
            <v>106.1</v>
          </cell>
          <cell r="I270">
            <v>7851.4</v>
          </cell>
          <cell r="J270">
            <v>5.6041399000713778E-3</v>
          </cell>
        </row>
        <row r="271">
          <cell r="A271" t="str">
            <v>17.4.9</v>
          </cell>
          <cell r="B271" t="str">
            <v xml:space="preserve"> C1661 </v>
          </cell>
          <cell r="C271" t="str">
            <v>SEINFRA</v>
          </cell>
          <cell r="D271" t="str">
            <v>LUMINÁRIA FLUORESCENTE COMPLETA ( 2 X 16 )W</v>
          </cell>
          <cell r="E271" t="str">
            <v>UN</v>
          </cell>
          <cell r="F271">
            <v>3</v>
          </cell>
          <cell r="G271">
            <v>77.400000000000006</v>
          </cell>
          <cell r="H271">
            <v>94.79</v>
          </cell>
          <cell r="I271">
            <v>284.37</v>
          </cell>
          <cell r="J271">
            <v>2.0297644539614561E-4</v>
          </cell>
        </row>
        <row r="272">
          <cell r="A272" t="str">
            <v>17.4.10</v>
          </cell>
          <cell r="B272" t="str">
            <v xml:space="preserve"> C2045 </v>
          </cell>
          <cell r="C272" t="str">
            <v>SEINFRA</v>
          </cell>
          <cell r="D272" t="str">
            <v>PROJETOR EM ALUMÍNIO, C/ LÂMPADA DE VAPOR METÁLICO E FOTOCÉLULA ATÉ 400W</v>
          </cell>
          <cell r="E272" t="str">
            <v>UN</v>
          </cell>
          <cell r="F272">
            <v>3</v>
          </cell>
          <cell r="G272">
            <v>289.17</v>
          </cell>
          <cell r="H272">
            <v>354.14</v>
          </cell>
          <cell r="I272">
            <v>1062.42</v>
          </cell>
          <cell r="J272">
            <v>7.5832976445396147E-4</v>
          </cell>
        </row>
        <row r="273">
          <cell r="A273" t="str">
            <v>17.4.11</v>
          </cell>
          <cell r="B273" t="str">
            <v xml:space="preserve"> 98307 </v>
          </cell>
          <cell r="C273" t="str">
            <v>SINAPI</v>
          </cell>
          <cell r="D273" t="str">
            <v>TOMADA DE REDE RJ45 - FORNECIMENTO E INSTALAÇÃO. AF_11/2019</v>
          </cell>
          <cell r="E273" t="str">
            <v>UN</v>
          </cell>
          <cell r="F273">
            <v>10</v>
          </cell>
          <cell r="G273">
            <v>30.35</v>
          </cell>
          <cell r="H273">
            <v>37.159999999999997</v>
          </cell>
          <cell r="I273">
            <v>371.6</v>
          </cell>
          <cell r="J273">
            <v>2.652391149179158E-4</v>
          </cell>
        </row>
        <row r="274">
          <cell r="A274" t="str">
            <v xml:space="preserve"> 18 </v>
          </cell>
          <cell r="B274"/>
          <cell r="C274"/>
          <cell r="D274" t="str">
            <v>SISTEMA DE PROTEÇÃO CONTRA DESCARGAS ATMOSFÉRICAS</v>
          </cell>
          <cell r="E274"/>
          <cell r="F274"/>
          <cell r="G274"/>
          <cell r="H274"/>
          <cell r="I274">
            <v>47328.87</v>
          </cell>
          <cell r="J274">
            <v>3.3782205567451817E-2</v>
          </cell>
        </row>
        <row r="275">
          <cell r="A275" t="str">
            <v>18.1</v>
          </cell>
          <cell r="B275" t="str">
            <v xml:space="preserve"> 96989 </v>
          </cell>
          <cell r="C275" t="str">
            <v>SINAPI</v>
          </cell>
          <cell r="D275" t="str">
            <v>CAPTOR TIPO FRANKLIN PARA SPDA - FORNECIMENTO E INSTALAÇÃO. AF_12/2017</v>
          </cell>
          <cell r="E275" t="str">
            <v>UN</v>
          </cell>
          <cell r="F275">
            <v>1</v>
          </cell>
          <cell r="G275">
            <v>55.44</v>
          </cell>
          <cell r="H275">
            <v>67.89</v>
          </cell>
          <cell r="I275">
            <v>67.89</v>
          </cell>
          <cell r="J275">
            <v>4.8458244111349037E-5</v>
          </cell>
        </row>
        <row r="276">
          <cell r="A276" t="str">
            <v>18.2</v>
          </cell>
          <cell r="B276" t="str">
            <v xml:space="preserve"> C3478 </v>
          </cell>
          <cell r="C276" t="str">
            <v>SEINFRA</v>
          </cell>
          <cell r="D276" t="str">
            <v>VERGALHÃO ROSCA TOTAL DE 3/8"</v>
          </cell>
          <cell r="E276" t="str">
            <v>M</v>
          </cell>
          <cell r="F276">
            <v>26</v>
          </cell>
          <cell r="G276">
            <v>9.01</v>
          </cell>
          <cell r="H276">
            <v>11.03</v>
          </cell>
          <cell r="I276">
            <v>286.77999999999997</v>
          </cell>
          <cell r="J276">
            <v>2.0469664525339044E-4</v>
          </cell>
        </row>
        <row r="277">
          <cell r="A277" t="str">
            <v>18.3</v>
          </cell>
          <cell r="B277" t="str">
            <v xml:space="preserve"> 98463 </v>
          </cell>
          <cell r="C277" t="str">
            <v>SINAPI</v>
          </cell>
          <cell r="D277" t="str">
            <v>SUPORTE ISOLADOR PARA CORDOALHA DE COBRE - FORNECIMENTO E INSTALAÇÃO. AF_12/2017</v>
          </cell>
          <cell r="E277" t="str">
            <v>UN</v>
          </cell>
          <cell r="F277">
            <v>26</v>
          </cell>
          <cell r="G277">
            <v>13.84</v>
          </cell>
          <cell r="H277">
            <v>16.940000000000001</v>
          </cell>
          <cell r="I277">
            <v>440.44</v>
          </cell>
          <cell r="J277">
            <v>3.143754461099215E-4</v>
          </cell>
        </row>
        <row r="278">
          <cell r="A278" t="str">
            <v>18.4</v>
          </cell>
          <cell r="B278" t="str">
            <v xml:space="preserve"> 9051 </v>
          </cell>
          <cell r="C278" t="str">
            <v>ORSE</v>
          </cell>
          <cell r="D278" t="str">
            <v>Caixa de equalização p/aterramento 20x20x10cm de sobrepor p/11 terminais de pressão c/barramento</v>
          </cell>
          <cell r="E278" t="str">
            <v>un</v>
          </cell>
          <cell r="F278">
            <v>1</v>
          </cell>
          <cell r="G278">
            <v>251.72</v>
          </cell>
          <cell r="H278">
            <v>308.27999999999997</v>
          </cell>
          <cell r="I278">
            <v>308.27999999999997</v>
          </cell>
          <cell r="J278">
            <v>2.2004282655246253E-4</v>
          </cell>
        </row>
        <row r="279">
          <cell r="A279" t="str">
            <v>18.5</v>
          </cell>
          <cell r="B279" t="str">
            <v xml:space="preserve"> 96985 </v>
          </cell>
          <cell r="C279" t="str">
            <v>SINAPI</v>
          </cell>
          <cell r="D279" t="str">
            <v>HASTE DE ATERRAMENTO 5/8  PARA SPDA - FORNECIMENTO E INSTALAÇÃO. AF_12/2017</v>
          </cell>
          <cell r="E279" t="str">
            <v>UN</v>
          </cell>
          <cell r="F279">
            <v>26</v>
          </cell>
          <cell r="G279">
            <v>55.81</v>
          </cell>
          <cell r="H279">
            <v>68.349999999999994</v>
          </cell>
          <cell r="I279">
            <v>1777.1</v>
          </cell>
          <cell r="J279">
            <v>1.2684511063526052E-3</v>
          </cell>
        </row>
        <row r="280">
          <cell r="A280" t="str">
            <v>18.6</v>
          </cell>
          <cell r="B280" t="str">
            <v xml:space="preserve"> 96973 </v>
          </cell>
          <cell r="C280" t="str">
            <v>SINAPI</v>
          </cell>
          <cell r="D280" t="str">
            <v>CORDOALHA DE COBRE NU 35 MM², NÃO ENTERRADA, COM ISOLADOR - FORNECIMENTO E INSTALAÇÃO. AF_12/2017</v>
          </cell>
          <cell r="E280" t="str">
            <v>M</v>
          </cell>
          <cell r="F280">
            <v>449.2</v>
          </cell>
          <cell r="G280">
            <v>41.99</v>
          </cell>
          <cell r="H280">
            <v>51.42</v>
          </cell>
          <cell r="I280">
            <v>23097.86</v>
          </cell>
          <cell r="J280">
            <v>1.6486695217701641E-2</v>
          </cell>
        </row>
        <row r="281">
          <cell r="A281" t="str">
            <v>18.7</v>
          </cell>
          <cell r="B281" t="str">
            <v xml:space="preserve"> 96974 </v>
          </cell>
          <cell r="C281" t="str">
            <v>SINAPI</v>
          </cell>
          <cell r="D281" t="str">
            <v>CORDOALHA DE COBRE NU 50 MM², NÃO ENTERRADA, COM ISOLADOR - FORNECIMENTO E INSTALAÇÃO. AF_12/2017</v>
          </cell>
          <cell r="E281" t="str">
            <v>M</v>
          </cell>
          <cell r="F281">
            <v>305.2</v>
          </cell>
          <cell r="G281">
            <v>55.7</v>
          </cell>
          <cell r="H281">
            <v>68.209999999999994</v>
          </cell>
          <cell r="I281">
            <v>20817.689999999999</v>
          </cell>
          <cell r="J281">
            <v>1.485916488222698E-2</v>
          </cell>
        </row>
        <row r="282">
          <cell r="A282" t="str">
            <v>18.8</v>
          </cell>
          <cell r="B282" t="str">
            <v xml:space="preserve"> 98111 </v>
          </cell>
          <cell r="C282" t="str">
            <v>SINAPI</v>
          </cell>
          <cell r="D282" t="str">
            <v>CAIXA DE INSPEÇÃO PARA ATERRAMENTO, CIRCULAR, EM POLIETILENO, DIÂMETRO INTERNO = 0,3 M. AF_12/2020</v>
          </cell>
          <cell r="E282" t="str">
            <v>UN</v>
          </cell>
          <cell r="F282">
            <v>5</v>
          </cell>
          <cell r="G282">
            <v>32.119999999999997</v>
          </cell>
          <cell r="H282">
            <v>39.33</v>
          </cell>
          <cell r="I282">
            <v>196.65</v>
          </cell>
          <cell r="J282">
            <v>1.4036402569593147E-4</v>
          </cell>
        </row>
        <row r="283">
          <cell r="A283" t="str">
            <v>18.9</v>
          </cell>
          <cell r="B283" t="str">
            <v xml:space="preserve"> C2457 </v>
          </cell>
          <cell r="C283" t="str">
            <v>SEINFRA</v>
          </cell>
          <cell r="D283" t="str">
            <v>TERMINAL DE PRESSÃO P/ CABOS ATÉ 35MM2</v>
          </cell>
          <cell r="E283" t="str">
            <v>UN</v>
          </cell>
          <cell r="F283">
            <v>26</v>
          </cell>
          <cell r="G283">
            <v>10.56</v>
          </cell>
          <cell r="H283">
            <v>12.93</v>
          </cell>
          <cell r="I283">
            <v>336.18</v>
          </cell>
          <cell r="J283">
            <v>2.3995717344753748E-4</v>
          </cell>
        </row>
        <row r="284">
          <cell r="A284" t="str">
            <v xml:space="preserve"> 19 </v>
          </cell>
          <cell r="B284"/>
          <cell r="C284"/>
          <cell r="D284" t="str">
            <v>SERVIÇOS COMPLEMENTARES</v>
          </cell>
          <cell r="E284"/>
          <cell r="F284"/>
          <cell r="G284"/>
          <cell r="H284"/>
          <cell r="I284">
            <v>56091.17</v>
          </cell>
          <cell r="J284">
            <v>4.0036523911491789E-2</v>
          </cell>
        </row>
        <row r="285">
          <cell r="A285" t="str">
            <v xml:space="preserve"> 19.1 </v>
          </cell>
          <cell r="B285"/>
          <cell r="C285"/>
          <cell r="D285" t="str">
            <v>GERAL</v>
          </cell>
          <cell r="E285"/>
          <cell r="F285"/>
          <cell r="G285"/>
          <cell r="H285"/>
          <cell r="I285">
            <v>11911.26</v>
          </cell>
          <cell r="J285">
            <v>8.5019700214132767E-3</v>
          </cell>
        </row>
        <row r="286">
          <cell r="A286" t="str">
            <v>19.1.1</v>
          </cell>
          <cell r="B286" t="str">
            <v xml:space="preserve"> C4068 </v>
          </cell>
          <cell r="C286" t="str">
            <v>SEINFRA</v>
          </cell>
          <cell r="D286" t="str">
            <v>BANCADA DE GRANITO CINZA E=2cm</v>
          </cell>
          <cell r="E286" t="str">
            <v>m²</v>
          </cell>
          <cell r="F286">
            <v>12.22</v>
          </cell>
          <cell r="G286">
            <v>248.95</v>
          </cell>
          <cell r="H286">
            <v>304.88</v>
          </cell>
          <cell r="I286">
            <v>3725.63</v>
          </cell>
          <cell r="J286">
            <v>2.6592648108493934E-3</v>
          </cell>
        </row>
        <row r="287">
          <cell r="A287" t="str">
            <v>19.1.2</v>
          </cell>
          <cell r="B287" t="str">
            <v xml:space="preserve"> C4068 </v>
          </cell>
          <cell r="C287" t="str">
            <v>SEINFRA</v>
          </cell>
          <cell r="D287" t="str">
            <v>BANCADA DE GRANITO CINZA E=2cm</v>
          </cell>
          <cell r="E287" t="str">
            <v>m²</v>
          </cell>
          <cell r="F287">
            <v>3.5</v>
          </cell>
          <cell r="G287">
            <v>248.95</v>
          </cell>
          <cell r="H287">
            <v>304.88</v>
          </cell>
          <cell r="I287">
            <v>1067.08</v>
          </cell>
          <cell r="J287">
            <v>7.6165596002855098E-4</v>
          </cell>
        </row>
        <row r="288">
          <cell r="A288" t="str">
            <v>19.1.3</v>
          </cell>
          <cell r="B288" t="str">
            <v xml:space="preserve"> C1869 </v>
          </cell>
          <cell r="C288" t="str">
            <v>SEINFRA</v>
          </cell>
          <cell r="D288" t="str">
            <v>PEITORIL DE GRANITO L= 15 cm</v>
          </cell>
          <cell r="E288" t="str">
            <v>M</v>
          </cell>
          <cell r="F288">
            <v>71.3</v>
          </cell>
          <cell r="G288">
            <v>64.959999999999994</v>
          </cell>
          <cell r="H288">
            <v>79.55</v>
          </cell>
          <cell r="I288">
            <v>5671.91</v>
          </cell>
          <cell r="J288">
            <v>4.0484725196288365E-3</v>
          </cell>
        </row>
        <row r="289">
          <cell r="A289" t="str">
            <v>19.1.4</v>
          </cell>
          <cell r="B289" t="str">
            <v xml:space="preserve"> C1960 </v>
          </cell>
          <cell r="C289" t="str">
            <v>SEINFRA</v>
          </cell>
          <cell r="D289" t="str">
            <v>PORTA COMPENSADO P/ARMÁRIO SOB PIA</v>
          </cell>
          <cell r="E289" t="str">
            <v>m²</v>
          </cell>
          <cell r="F289">
            <v>6.55</v>
          </cell>
          <cell r="G289">
            <v>148.33000000000001</v>
          </cell>
          <cell r="H289">
            <v>181.65</v>
          </cell>
          <cell r="I289">
            <v>1189.8</v>
          </cell>
          <cell r="J289">
            <v>8.4925053533190583E-4</v>
          </cell>
        </row>
        <row r="290">
          <cell r="A290" t="str">
            <v>19.1.5</v>
          </cell>
          <cell r="B290" t="str">
            <v xml:space="preserve"> C2910 </v>
          </cell>
          <cell r="C290" t="str">
            <v>SEINFRA</v>
          </cell>
          <cell r="D290" t="str">
            <v>PRATELEIRA DE MADEIRA DE LEI PLAINADA</v>
          </cell>
          <cell r="E290" t="str">
            <v>m²</v>
          </cell>
          <cell r="F290">
            <v>1.9</v>
          </cell>
          <cell r="G290">
            <v>110.38</v>
          </cell>
          <cell r="H290">
            <v>135.18</v>
          </cell>
          <cell r="I290">
            <v>256.83999999999997</v>
          </cell>
          <cell r="J290">
            <v>1.8332619557458958E-4</v>
          </cell>
        </row>
        <row r="291">
          <cell r="A291" t="str">
            <v xml:space="preserve"> 19.2 </v>
          </cell>
          <cell r="B291"/>
          <cell r="C291"/>
          <cell r="D291" t="str">
            <v>ESQUADRIAS, PORTÃO E GRADIL METÁLICO</v>
          </cell>
          <cell r="E291"/>
          <cell r="F291"/>
          <cell r="G291"/>
          <cell r="H291"/>
          <cell r="I291">
            <v>44179.91</v>
          </cell>
          <cell r="J291">
            <v>3.1534553890078518E-2</v>
          </cell>
        </row>
        <row r="292">
          <cell r="A292" t="str">
            <v>19.2.1</v>
          </cell>
          <cell r="B292" t="str">
            <v xml:space="preserve"> C0864 </v>
          </cell>
          <cell r="C292" t="str">
            <v>SEINFRA</v>
          </cell>
          <cell r="D292" t="str">
            <v>CONJUNTO DE MASTRO P/ TRÊS BANDEIRAS E PEDESTAL</v>
          </cell>
          <cell r="E292" t="str">
            <v>UN</v>
          </cell>
          <cell r="F292">
            <v>1</v>
          </cell>
          <cell r="G292">
            <v>2835.72</v>
          </cell>
          <cell r="H292">
            <v>3472.9</v>
          </cell>
          <cell r="I292">
            <v>3472.9</v>
          </cell>
          <cell r="J292">
            <v>2.4788722341184868E-3</v>
          </cell>
        </row>
        <row r="293">
          <cell r="A293" t="str">
            <v>19.2.2</v>
          </cell>
          <cell r="B293" t="str">
            <v xml:space="preserve"> C4646 </v>
          </cell>
          <cell r="C293" t="str">
            <v>SEINFRA</v>
          </cell>
          <cell r="D293" t="str">
            <v>CORRIMÃO DUPLA ALTURA EM AÇO INOX DIAM 1 1/2</v>
          </cell>
          <cell r="E293" t="str">
            <v>M</v>
          </cell>
          <cell r="F293">
            <v>14</v>
          </cell>
          <cell r="G293">
            <v>300.27</v>
          </cell>
          <cell r="H293">
            <v>367.74</v>
          </cell>
          <cell r="I293">
            <v>5148.3599999999997</v>
          </cell>
          <cell r="J293">
            <v>3.6747751605995718E-3</v>
          </cell>
        </row>
        <row r="294">
          <cell r="A294" t="str">
            <v>19.2.3</v>
          </cell>
          <cell r="B294" t="str">
            <v xml:space="preserve"> 98504 </v>
          </cell>
          <cell r="C294" t="str">
            <v>SINAPI</v>
          </cell>
          <cell r="D294" t="str">
            <v>PLANTIO DE GRAMA BATATAIS EM PLACAS. AF_05/2018</v>
          </cell>
          <cell r="E294" t="str">
            <v>m²</v>
          </cell>
          <cell r="F294">
            <v>90.96</v>
          </cell>
          <cell r="G294">
            <v>11.41</v>
          </cell>
          <cell r="H294">
            <v>13.97</v>
          </cell>
          <cell r="I294">
            <v>1270.71</v>
          </cell>
          <cell r="J294">
            <v>9.0700214132762318E-4</v>
          </cell>
        </row>
        <row r="295">
          <cell r="A295" t="str">
            <v>19.2.4</v>
          </cell>
          <cell r="B295" t="str">
            <v xml:space="preserve"> C0036 </v>
          </cell>
          <cell r="C295" t="str">
            <v>SEINFRA</v>
          </cell>
          <cell r="D295" t="str">
            <v>ALAMBRADO C/TELA DE ARAME GALVANIZADO.. ALTURA 2M</v>
          </cell>
          <cell r="E295" t="str">
            <v>M</v>
          </cell>
          <cell r="F295">
            <v>143.19999999999999</v>
          </cell>
          <cell r="G295">
            <v>102.61</v>
          </cell>
          <cell r="H295">
            <v>125.66</v>
          </cell>
          <cell r="I295">
            <v>17994.509999999998</v>
          </cell>
          <cell r="J295">
            <v>1.284404710920771E-2</v>
          </cell>
        </row>
        <row r="296">
          <cell r="A296" t="str">
            <v>19.2.5</v>
          </cell>
          <cell r="B296" t="str">
            <v xml:space="preserve"> 91341 </v>
          </cell>
          <cell r="C296" t="str">
            <v>SINAPI</v>
          </cell>
          <cell r="D296" t="str">
            <v>PORTA EM ALUMÍNIO DE ABRIR TIPO VENEZIANA COM GUARNIÇÃO, FIXAÇÃO COM PARAFUSOS - FORNECIMENTO E INSTALAÇÃO. AF_12/2019</v>
          </cell>
          <cell r="E296" t="str">
            <v>m²</v>
          </cell>
          <cell r="F296">
            <v>5.27</v>
          </cell>
          <cell r="G296">
            <v>667.29</v>
          </cell>
          <cell r="H296">
            <v>817.23</v>
          </cell>
          <cell r="I296">
            <v>4306.8</v>
          </cell>
          <cell r="J296">
            <v>3.0740899357601715E-3</v>
          </cell>
        </row>
        <row r="297">
          <cell r="A297" t="str">
            <v>19.2.6</v>
          </cell>
          <cell r="B297" t="str">
            <v xml:space="preserve"> 12980 </v>
          </cell>
          <cell r="C297" t="str">
            <v>ORSE</v>
          </cell>
          <cell r="D297" t="str">
            <v>Portão  em tubo de ferro galvanizado de 2", de abrir, duas folhas, de 2,00 x 2,00m, tela malha revestida 76 x 76mm, n.º 12,  inclusive dobradiças e trancas/ferrolho</v>
          </cell>
          <cell r="E297" t="str">
            <v>m²</v>
          </cell>
          <cell r="F297">
            <v>4.9000000000000004</v>
          </cell>
          <cell r="G297">
            <v>549.16</v>
          </cell>
          <cell r="H297">
            <v>672.55</v>
          </cell>
          <cell r="I297">
            <v>3295.49</v>
          </cell>
          <cell r="J297">
            <v>2.3522412562455388E-3</v>
          </cell>
        </row>
        <row r="298">
          <cell r="A298" t="str">
            <v>19.2.7</v>
          </cell>
          <cell r="B298" t="str">
            <v xml:space="preserve"> 12013 </v>
          </cell>
          <cell r="C298" t="str">
            <v>ORSE</v>
          </cell>
          <cell r="D298" t="str">
            <v>Portão de correr em chapa de aço 1/4", c/ quadro em tubo quadrado de 2", barra quadrada 1" na vertical e barra chata 2" x 1/4" na horizontal, inclusive ferrolho, e roldanas e trilhos,  p/ penitenciária</v>
          </cell>
          <cell r="E298" t="str">
            <v>m²</v>
          </cell>
          <cell r="F298">
            <v>5.43</v>
          </cell>
          <cell r="G298">
            <v>1306.92</v>
          </cell>
          <cell r="H298">
            <v>1600.58</v>
          </cell>
          <cell r="I298">
            <v>8691.14</v>
          </cell>
          <cell r="J298">
            <v>6.2035260528194146E-3</v>
          </cell>
        </row>
        <row r="299">
          <cell r="A299" t="str">
            <v xml:space="preserve"> 20 </v>
          </cell>
          <cell r="B299"/>
          <cell r="C299"/>
          <cell r="D299" t="str">
            <v>SERVIÇOS FINAIS</v>
          </cell>
          <cell r="E299"/>
          <cell r="F299"/>
          <cell r="G299"/>
          <cell r="H299"/>
          <cell r="I299">
            <v>3754.85</v>
          </cell>
          <cell r="J299">
            <v>2.6801213418986437E-3</v>
          </cell>
        </row>
        <row r="300">
          <cell r="A300" t="str">
            <v>20.1</v>
          </cell>
          <cell r="B300" t="str">
            <v xml:space="preserve"> 99803 </v>
          </cell>
          <cell r="C300" t="str">
            <v>SINAPI</v>
          </cell>
          <cell r="D300" t="str">
            <v>LIMPEZA DE PISO CERÂMICO OU PORCELANATO COM PANO ÚMIDO. AF_04/2019</v>
          </cell>
          <cell r="E300" t="str">
            <v>m²</v>
          </cell>
          <cell r="F300">
            <v>1129.6400000000001</v>
          </cell>
          <cell r="G300">
            <v>1.38</v>
          </cell>
          <cell r="H300">
            <v>1.69</v>
          </cell>
          <cell r="I300">
            <v>1909.09</v>
          </cell>
          <cell r="J300">
            <v>1.3626623840114205E-3</v>
          </cell>
        </row>
        <row r="301">
          <cell r="A301" t="str">
            <v>20.2</v>
          </cell>
          <cell r="B301" t="str">
            <v xml:space="preserve"> 3167 </v>
          </cell>
          <cell r="C301" t="str">
            <v>ORSE</v>
          </cell>
          <cell r="D301" t="str">
            <v>Placa de inauguração de obra em alumínio 0,60 x 0,80 m</v>
          </cell>
          <cell r="E301" t="str">
            <v>un</v>
          </cell>
          <cell r="F301">
            <v>1</v>
          </cell>
          <cell r="G301">
            <v>1507.12</v>
          </cell>
          <cell r="H301">
            <v>1845.76</v>
          </cell>
          <cell r="I301">
            <v>1845.76</v>
          </cell>
          <cell r="J301">
            <v>1.3174589578872234E-3</v>
          </cell>
        </row>
        <row r="302">
          <cell r="A302"/>
          <cell r="B302"/>
          <cell r="C302"/>
          <cell r="D302"/>
          <cell r="E302"/>
          <cell r="F302" t="str">
            <v>Total sem BDI</v>
          </cell>
          <cell r="G302"/>
          <cell r="H302"/>
          <cell r="I302">
            <v>1144136.95</v>
          </cell>
          <cell r="J302"/>
        </row>
        <row r="303">
          <cell r="A303"/>
          <cell r="B303"/>
          <cell r="C303"/>
          <cell r="D303"/>
          <cell r="E303"/>
          <cell r="F303" t="str">
            <v>Total do BDI</v>
          </cell>
          <cell r="G303"/>
          <cell r="H303"/>
          <cell r="I303">
            <v>256863.05</v>
          </cell>
          <cell r="J303"/>
        </row>
        <row r="304">
          <cell r="A304"/>
          <cell r="B304"/>
          <cell r="C304"/>
          <cell r="D304"/>
          <cell r="E304"/>
          <cell r="F304" t="str">
            <v>Total Geral</v>
          </cell>
          <cell r="G304"/>
          <cell r="H304"/>
          <cell r="I304">
            <v>1401000</v>
          </cell>
          <cell r="J304"/>
        </row>
        <row r="305">
          <cell r="A305"/>
          <cell r="B305"/>
          <cell r="C305"/>
          <cell r="D305"/>
          <cell r="E305"/>
          <cell r="F305"/>
          <cell r="G305"/>
          <cell r="H305">
            <v>1401000</v>
          </cell>
          <cell r="I305"/>
          <cell r="J305"/>
        </row>
        <row r="306">
          <cell r="A306"/>
          <cell r="B306"/>
          <cell r="C306"/>
          <cell r="D306"/>
          <cell r="E306"/>
          <cell r="F306"/>
          <cell r="G306"/>
          <cell r="H306"/>
          <cell r="I306"/>
          <cell r="J306"/>
        </row>
        <row r="307">
          <cell r="A307"/>
          <cell r="B307"/>
          <cell r="C307"/>
          <cell r="D307"/>
          <cell r="E307"/>
          <cell r="F307"/>
          <cell r="G307"/>
          <cell r="H307"/>
          <cell r="I307"/>
          <cell r="J307"/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mento Sintético"/>
      <sheetName val="BM 04"/>
      <sheetName val="MEMORIA DE CALCULO"/>
      <sheetName val="FOTOGRÁFICO"/>
      <sheetName val="REAJUSTE"/>
    </sheetNames>
    <sheetDataSet>
      <sheetData sheetId="0">
        <row r="1">
          <cell r="D1" t="str">
            <v>CONSTRUTORA SOUSA CAMPOS: 19.175.657/0001-18</v>
          </cell>
          <cell r="E1" t="str">
            <v>Bancos</v>
          </cell>
          <cell r="G1" t="str">
            <v>B.D.I.</v>
          </cell>
          <cell r="I1" t="str">
            <v>Encargos Sociais</v>
          </cell>
        </row>
        <row r="2">
          <cell r="D2" t="str">
            <v>OBRA: CONTRATAÇÃO DE EMPRESA PARA CONSTRUÇÃO DE UMA ESCOLA COM 06 (SEIS) SALAS DE AULA  NO MUNICÍPIO DE MOGEIRO–PB</v>
          </cell>
          <cell r="E2" t="str">
            <v xml:space="preserve"> SINAPI -    04/2023
SBC - 05/2023
ORSE - 05/2023
SEINFRA - 05/2021
</v>
          </cell>
          <cell r="G2" t="str">
            <v>22,47%</v>
          </cell>
          <cell r="I2" t="str">
            <v>ORSE 111,93 / 71,07                                 SBC 113,45 / -                                               SEINFRA 112,76 / 71,07                                   SINAPI  113,42 / 69,75                                     PROPRIA</v>
          </cell>
        </row>
        <row r="3">
          <cell r="A3" t="str">
            <v>PLANILHA ORÇAMENTÁRIA</v>
          </cell>
        </row>
        <row r="4">
          <cell r="A4" t="str">
            <v>Item</v>
          </cell>
          <cell r="B4" t="str">
            <v>Código</v>
          </cell>
          <cell r="C4" t="str">
            <v>Banco</v>
          </cell>
          <cell r="D4" t="str">
            <v>Descrição</v>
          </cell>
          <cell r="E4" t="str">
            <v>Und</v>
          </cell>
          <cell r="F4" t="str">
            <v>Quant.</v>
          </cell>
          <cell r="G4" t="str">
            <v>Valor Unit</v>
          </cell>
          <cell r="H4" t="str">
            <v>Valor Unit com BDI</v>
          </cell>
          <cell r="I4" t="str">
            <v>Total</v>
          </cell>
          <cell r="J4" t="str">
            <v>Peso (%)</v>
          </cell>
        </row>
        <row r="6">
          <cell r="A6" t="str">
            <v xml:space="preserve"> 1 </v>
          </cell>
          <cell r="D6" t="str">
            <v>SERVIÇOS PRELIMINARES</v>
          </cell>
          <cell r="I6">
            <v>73151.73</v>
          </cell>
          <cell r="J6">
            <v>5.2213940042826555E-2</v>
          </cell>
        </row>
        <row r="7">
          <cell r="A7" t="str">
            <v>1.1</v>
          </cell>
          <cell r="B7" t="str">
            <v xml:space="preserve"> 51 </v>
          </cell>
          <cell r="C7" t="str">
            <v>ORSE</v>
          </cell>
          <cell r="D7" t="str">
            <v>Placa de obra em chapa aço galvanizado, instalada - Rev 02_01/2022</v>
          </cell>
          <cell r="E7" t="str">
            <v>m²</v>
          </cell>
          <cell r="F7">
            <v>10</v>
          </cell>
          <cell r="G7">
            <v>254.25</v>
          </cell>
          <cell r="H7">
            <v>311.37</v>
          </cell>
          <cell r="I7">
            <v>3113.7</v>
          </cell>
          <cell r="J7">
            <v>2.2224839400428265E-3</v>
          </cell>
        </row>
        <row r="8">
          <cell r="A8" t="str">
            <v>1.2</v>
          </cell>
          <cell r="B8" t="str">
            <v xml:space="preserve"> 98458 </v>
          </cell>
          <cell r="C8" t="str">
            <v>SINAPI</v>
          </cell>
          <cell r="D8" t="str">
            <v>TAPUME COM COMPENSADO DE MADEIRA. AF_05/2018</v>
          </cell>
          <cell r="E8" t="str">
            <v>m²</v>
          </cell>
          <cell r="F8">
            <v>176</v>
          </cell>
          <cell r="G8">
            <v>75.78</v>
          </cell>
          <cell r="H8">
            <v>92.8</v>
          </cell>
          <cell r="I8">
            <v>16332.8</v>
          </cell>
          <cell r="J8">
            <v>1.1657958600999286E-2</v>
          </cell>
        </row>
        <row r="9">
          <cell r="A9" t="str">
            <v>1.3</v>
          </cell>
          <cell r="B9" t="str">
            <v xml:space="preserve"> C2850 </v>
          </cell>
          <cell r="C9" t="str">
            <v>SEINFRA</v>
          </cell>
          <cell r="D9" t="str">
            <v>INSTALAÇÕES PROVISÓRIAS DE LUZ , FORÇA,TELEFONE E LÓGICA</v>
          </cell>
          <cell r="E9" t="str">
            <v>UN</v>
          </cell>
          <cell r="F9">
            <v>1</v>
          </cell>
          <cell r="G9">
            <v>931.54</v>
          </cell>
          <cell r="H9">
            <v>1140.8499999999999</v>
          </cell>
          <cell r="I9">
            <v>1140.8499999999999</v>
          </cell>
          <cell r="J9">
            <v>8.1431120628122774E-4</v>
          </cell>
        </row>
        <row r="10">
          <cell r="A10" t="str">
            <v>1.4</v>
          </cell>
          <cell r="B10" t="str">
            <v xml:space="preserve"> 93214 </v>
          </cell>
          <cell r="C10" t="str">
            <v>SINAPI</v>
          </cell>
          <cell r="D10" t="str">
            <v>EXECUÇÃO DE RESERVATÓRIO ELEVADO DE ÁGUA (1000 LITROS) EM CANTEIRO DE OBRA, APOIADO EM ESTRUTURA DE MADEIRA. AF_02/2016_PA</v>
          </cell>
          <cell r="E10" t="str">
            <v>UN</v>
          </cell>
          <cell r="F10">
            <v>1</v>
          </cell>
          <cell r="G10">
            <v>3683.51</v>
          </cell>
          <cell r="H10">
            <v>4511.1899999999996</v>
          </cell>
          <cell r="I10">
            <v>4511.1899999999996</v>
          </cell>
          <cell r="J10">
            <v>3.2199785867237686E-3</v>
          </cell>
        </row>
        <row r="11">
          <cell r="A11" t="str">
            <v>1.5</v>
          </cell>
          <cell r="B11" t="str">
            <v xml:space="preserve"> C2832 </v>
          </cell>
          <cell r="C11" t="str">
            <v>SEINFRA</v>
          </cell>
          <cell r="D11" t="str">
            <v>FOSSA SÉPTICA E SUMIDOURO  EM ALVENARIA</v>
          </cell>
          <cell r="E11" t="str">
            <v>UN</v>
          </cell>
          <cell r="F11">
            <v>1</v>
          </cell>
          <cell r="G11">
            <v>3590.77</v>
          </cell>
          <cell r="H11">
            <v>4397.6099999999997</v>
          </cell>
          <cell r="I11">
            <v>4397.6099999999997</v>
          </cell>
          <cell r="J11">
            <v>3.1389079229122057E-3</v>
          </cell>
        </row>
        <row r="12">
          <cell r="A12" t="str">
            <v>1.6</v>
          </cell>
          <cell r="B12" t="str">
            <v xml:space="preserve"> 93212 </v>
          </cell>
          <cell r="C12" t="str">
            <v>SINAPI</v>
          </cell>
          <cell r="D12" t="str">
            <v>EXECUÇÃO DE SANITÁRIO E VESTIÁRIO EM CANTEIRO DE OBRA EM CHAPA DE MADEIRA COMPENSADA, NÃO INCLUSO MOBILIÁRIO. AF_02/2016</v>
          </cell>
          <cell r="E12" t="str">
            <v>m²</v>
          </cell>
          <cell r="F12">
            <v>2.52</v>
          </cell>
          <cell r="G12">
            <v>679.04</v>
          </cell>
          <cell r="H12">
            <v>831.62</v>
          </cell>
          <cell r="I12">
            <v>2095.6799999999998</v>
          </cell>
          <cell r="J12">
            <v>1.4958458244111348E-3</v>
          </cell>
        </row>
        <row r="13">
          <cell r="A13" t="str">
            <v>1.7</v>
          </cell>
          <cell r="B13" t="str">
            <v xml:space="preserve"> 93207 </v>
          </cell>
          <cell r="C13" t="str">
            <v>SINAPI</v>
          </cell>
          <cell r="D13" t="str">
            <v>EXECUÇÃO DE ESCRITÓRIO EM CANTEIRO DE OBRA EM CHAPA DE MADEIRA COMPENSADA, NÃO INCLUSO MOBILIÁRIO E EQUIPAMENTOS. AF_02/2016</v>
          </cell>
          <cell r="E13" t="str">
            <v>m²</v>
          </cell>
          <cell r="F13">
            <v>20</v>
          </cell>
          <cell r="G13">
            <v>729.35</v>
          </cell>
          <cell r="H13">
            <v>893.23</v>
          </cell>
          <cell r="I13">
            <v>17864.599999999999</v>
          </cell>
          <cell r="J13">
            <v>1.2751320485367595E-2</v>
          </cell>
        </row>
        <row r="14">
          <cell r="A14" t="str">
            <v>1.8</v>
          </cell>
          <cell r="B14" t="str">
            <v xml:space="preserve"> 93584 </v>
          </cell>
          <cell r="C14" t="str">
            <v>SINAPI</v>
          </cell>
          <cell r="D14" t="str">
            <v>EXECUÇÃO DE DEPÓSITO EM CANTEIRO DE OBRA EM CHAPA DE MADEIRA COMPENSADA, NÃO INCLUSO MOBILIÁRIO. AF_04/2016</v>
          </cell>
          <cell r="E14" t="str">
            <v>m²</v>
          </cell>
          <cell r="F14">
            <v>20</v>
          </cell>
          <cell r="G14">
            <v>598.34</v>
          </cell>
          <cell r="H14">
            <v>732.78</v>
          </cell>
          <cell r="I14">
            <v>14655.6</v>
          </cell>
          <cell r="J14">
            <v>1.0460813704496788E-2</v>
          </cell>
        </row>
        <row r="15">
          <cell r="A15" t="str">
            <v>1.9</v>
          </cell>
          <cell r="B15" t="str">
            <v xml:space="preserve"> C1630 </v>
          </cell>
          <cell r="C15" t="str">
            <v>SEINFRA</v>
          </cell>
          <cell r="D15" t="str">
            <v>LOCAÇÃO DA OBRA - EXECUÇÃO DE GABARITO</v>
          </cell>
          <cell r="E15" t="str">
            <v>m²</v>
          </cell>
          <cell r="F15">
            <v>1129.6400000000001</v>
          </cell>
          <cell r="G15">
            <v>5.67</v>
          </cell>
          <cell r="H15">
            <v>6.94</v>
          </cell>
          <cell r="I15">
            <v>7839.7</v>
          </cell>
          <cell r="J15">
            <v>5.5957887223411851E-3</v>
          </cell>
        </row>
        <row r="16">
          <cell r="A16" t="str">
            <v>1.10</v>
          </cell>
          <cell r="B16" t="str">
            <v xml:space="preserve"> 98525 </v>
          </cell>
          <cell r="C16" t="str">
            <v>SINAPI</v>
          </cell>
          <cell r="D16" t="str">
            <v>LIMPEZA MECANIZADA DE CAMADA VEGETAL, VEGETAÇÃO E PEQUENAS ÁRVORES (DIÂMETRO DE TRONCO MENOR QUE 0,20 M), COM TRATOR DE ESTEIRAS.AF_05/2018</v>
          </cell>
          <cell r="E16" t="str">
            <v>m²</v>
          </cell>
          <cell r="F16">
            <v>4000</v>
          </cell>
          <cell r="G16">
            <v>0.25</v>
          </cell>
          <cell r="H16">
            <v>0.3</v>
          </cell>
          <cell r="I16">
            <v>1200</v>
          </cell>
          <cell r="J16">
            <v>8.5653104925053529E-4</v>
          </cell>
        </row>
        <row r="17">
          <cell r="A17" t="str">
            <v xml:space="preserve"> 2 </v>
          </cell>
          <cell r="D17" t="str">
            <v>MOVIMENTO DE TERRAS PARA FUNDAÇÕES</v>
          </cell>
          <cell r="I17">
            <v>31327.78</v>
          </cell>
          <cell r="J17">
            <v>2.2361013561741614E-2</v>
          </cell>
        </row>
        <row r="18">
          <cell r="A18" t="str">
            <v>2.1</v>
          </cell>
          <cell r="B18" t="str">
            <v xml:space="preserve"> 94319 </v>
          </cell>
          <cell r="C18" t="str">
            <v>SINAPI</v>
          </cell>
          <cell r="D18" t="str">
            <v>ATERRO MANUAL DE VALAS COM SOLO ARGILO-ARENOSO E COMPACTAÇÃO MECANIZADA. AF_05/2016</v>
          </cell>
          <cell r="E18" t="str">
            <v>m³</v>
          </cell>
          <cell r="F18">
            <v>168.5</v>
          </cell>
          <cell r="G18">
            <v>54</v>
          </cell>
          <cell r="H18">
            <v>66.13</v>
          </cell>
          <cell r="I18">
            <v>11142.9</v>
          </cell>
          <cell r="J18">
            <v>7.9535331905781579E-3</v>
          </cell>
        </row>
        <row r="19">
          <cell r="A19" t="str">
            <v>2.2</v>
          </cell>
          <cell r="B19" t="str">
            <v xml:space="preserve"> 93358 </v>
          </cell>
          <cell r="C19" t="str">
            <v>SINAPI</v>
          </cell>
          <cell r="D19" t="str">
            <v>ESCAVAÇÃO MANUAL DE VALA COM PROFUNDIDADE MENOR OU IGUAL A 1,30 M. AF_02/2021</v>
          </cell>
          <cell r="E19" t="str">
            <v>m³</v>
          </cell>
          <cell r="F19">
            <v>94.33</v>
          </cell>
          <cell r="G19">
            <v>56.41</v>
          </cell>
          <cell r="H19">
            <v>69.08</v>
          </cell>
          <cell r="I19">
            <v>6516.31</v>
          </cell>
          <cell r="J19">
            <v>4.6511848679514634E-3</v>
          </cell>
        </row>
        <row r="20">
          <cell r="A20" t="str">
            <v>2.3</v>
          </cell>
          <cell r="B20" t="str">
            <v xml:space="preserve"> 94319 </v>
          </cell>
          <cell r="C20" t="str">
            <v>SINAPI</v>
          </cell>
          <cell r="D20" t="str">
            <v>ATERRO MANUAL DE VALAS COM SOLO ARGILO-ARENOSO E COMPACTAÇÃO MECANIZADA. AF_05/2016</v>
          </cell>
          <cell r="E20" t="str">
            <v>m³</v>
          </cell>
          <cell r="F20">
            <v>184.58</v>
          </cell>
          <cell r="G20">
            <v>54</v>
          </cell>
          <cell r="H20">
            <v>66.13</v>
          </cell>
          <cell r="I20">
            <v>12206.27</v>
          </cell>
          <cell r="J20">
            <v>8.7125410421127758E-3</v>
          </cell>
        </row>
        <row r="21">
          <cell r="A21" t="str">
            <v>2.4</v>
          </cell>
          <cell r="B21" t="str">
            <v xml:space="preserve"> 93382 </v>
          </cell>
          <cell r="C21" t="str">
            <v>SINAPI</v>
          </cell>
          <cell r="D21" t="str">
            <v>REATERRO MANUAL DE VALAS COM COMPACTAÇÃO MECANIZADA. AF_04/2016</v>
          </cell>
          <cell r="E21" t="str">
            <v>m³</v>
          </cell>
          <cell r="F21">
            <v>55.58</v>
          </cell>
          <cell r="G21">
            <v>21.49</v>
          </cell>
          <cell r="H21">
            <v>26.31</v>
          </cell>
          <cell r="I21">
            <v>1462.3</v>
          </cell>
          <cell r="J21">
            <v>1.0437544610992148E-3</v>
          </cell>
        </row>
        <row r="22">
          <cell r="A22" t="str">
            <v xml:space="preserve"> 3 </v>
          </cell>
          <cell r="D22" t="str">
            <v>FUNDAÇÕES</v>
          </cell>
          <cell r="I22">
            <v>110557.96</v>
          </cell>
          <cell r="J22">
            <v>7.8913604568165596E-2</v>
          </cell>
        </row>
        <row r="23">
          <cell r="A23" t="str">
            <v xml:space="preserve"> 3.1 </v>
          </cell>
          <cell r="D23" t="str">
            <v>CONCRETO ARMADO PARA FUNDAÇÕES</v>
          </cell>
          <cell r="I23">
            <v>40612.69</v>
          </cell>
          <cell r="J23">
            <v>2.8988358315488936E-2</v>
          </cell>
        </row>
        <row r="24">
          <cell r="A24" t="str">
            <v>3.1.1</v>
          </cell>
          <cell r="B24" t="str">
            <v xml:space="preserve"> 96619 </v>
          </cell>
          <cell r="C24" t="str">
            <v>SINAPI</v>
          </cell>
          <cell r="D24" t="str">
            <v>LASTRO DE CONCRETO MAGRO, APLICADO EM BLOCOS DE COROAMENTO OU SAPATAS, ESPESSURA DE 5 CM. AF_08/2017</v>
          </cell>
          <cell r="E24" t="str">
            <v>m²</v>
          </cell>
          <cell r="F24">
            <v>61.88</v>
          </cell>
          <cell r="G24">
            <v>22.37</v>
          </cell>
          <cell r="H24">
            <v>27.39</v>
          </cell>
          <cell r="I24">
            <v>1694.89</v>
          </cell>
          <cell r="J24">
            <v>1.2097715917201999E-3</v>
          </cell>
        </row>
        <row r="25">
          <cell r="A25" t="str">
            <v>3.1.2</v>
          </cell>
          <cell r="B25" t="str">
            <v xml:space="preserve"> 96535 </v>
          </cell>
          <cell r="C25" t="str">
            <v>SINAPI</v>
          </cell>
          <cell r="D25" t="str">
            <v>FABRICAÇÃO, MONTAGEM E DESMONTAGEM DE FÔRMA PARA SAPATA, EM MADEIRA SERRADA, E=25 MM, 4 UTILIZAÇÕES. AF_06/2017</v>
          </cell>
          <cell r="E25" t="str">
            <v>m²</v>
          </cell>
          <cell r="F25">
            <v>165.15</v>
          </cell>
          <cell r="G25">
            <v>104.74</v>
          </cell>
          <cell r="H25">
            <v>128.27000000000001</v>
          </cell>
          <cell r="I25">
            <v>21183.79</v>
          </cell>
          <cell r="J25">
            <v>1.5120478229835832E-2</v>
          </cell>
        </row>
        <row r="26">
          <cell r="A26" t="str">
            <v>3.1.3</v>
          </cell>
          <cell r="B26" t="str">
            <v xml:space="preserve"> 92916 </v>
          </cell>
          <cell r="C26" t="str">
            <v>SINAPI</v>
          </cell>
          <cell r="D26" t="str">
            <v>ARMAÇÃO DE ESTRUTURAS DIVERSAS DE CONCRETO ARMADO, EXCETO VIGAS, PILARES, LAJES E FUNDAÇÕES, UTILIZANDO AÇO CA-50 DE 6,3 MM - MONTAGEM. AF_06/2022</v>
          </cell>
          <cell r="E26" t="str">
            <v>KG</v>
          </cell>
          <cell r="F26">
            <v>6.55</v>
          </cell>
          <cell r="G26">
            <v>11.54</v>
          </cell>
          <cell r="H26">
            <v>14.13</v>
          </cell>
          <cell r="I26">
            <v>92.55</v>
          </cell>
          <cell r="J26">
            <v>6.6059957173447543E-5</v>
          </cell>
        </row>
        <row r="27">
          <cell r="A27" t="str">
            <v>3.1.4</v>
          </cell>
          <cell r="B27" t="str">
            <v xml:space="preserve"> 92917 </v>
          </cell>
          <cell r="C27" t="str">
            <v>SINAPI</v>
          </cell>
          <cell r="D27" t="str">
            <v>ARMAÇÃO DE ESTRUTURAS DIVERSAS DE CONCRETO ARMADO, EXCETO VIGAS, PILARES, LAJES E FUNDAÇÕES, UTILIZANDO AÇO CA-50 DE 8,0 MM - MONTAGEM. AF_06/2022</v>
          </cell>
          <cell r="E27" t="str">
            <v>KG</v>
          </cell>
          <cell r="F27">
            <v>32.450000000000003</v>
          </cell>
          <cell r="G27">
            <v>10.65</v>
          </cell>
          <cell r="H27">
            <v>13.04</v>
          </cell>
          <cell r="I27">
            <v>423.14</v>
          </cell>
          <cell r="J27">
            <v>3.0202712348322626E-4</v>
          </cell>
        </row>
        <row r="28">
          <cell r="A28" t="str">
            <v>3.1.5</v>
          </cell>
          <cell r="B28" t="str">
            <v xml:space="preserve"> 92919 </v>
          </cell>
          <cell r="C28" t="str">
            <v>SINAPI</v>
          </cell>
          <cell r="D28" t="str">
            <v>ARMAÇÃO DE ESTRUTURAS DIVERSAS DE CONCRETO ARMADO, EXCETO VIGAS, PILARES, LAJES E FUNDAÇÕES, UTILIZANDO AÇO CA-50 DE 10,0 MM - MONTAGEM. AF_06/2022</v>
          </cell>
          <cell r="E28" t="str">
            <v>KG</v>
          </cell>
          <cell r="F28">
            <v>312.26</v>
          </cell>
          <cell r="G28">
            <v>9.39</v>
          </cell>
          <cell r="H28">
            <v>11.49</v>
          </cell>
          <cell r="I28">
            <v>3587.86</v>
          </cell>
          <cell r="J28">
            <v>2.5609279086366882E-3</v>
          </cell>
        </row>
        <row r="29">
          <cell r="A29" t="str">
            <v>3.1.6</v>
          </cell>
          <cell r="B29" t="str">
            <v xml:space="preserve"> 92921 </v>
          </cell>
          <cell r="C29" t="str">
            <v>SINAPI</v>
          </cell>
          <cell r="D29" t="str">
            <v>ARMAÇÃO DE ESTRUTURAS DIVERSAS DE CONCRETO ARMADO, EXCETO VIGAS, PILARES, LAJES E FUNDAÇÕES, UTILIZANDO AÇO CA-50 DE 12,5 MM - MONTAGEM. AF_06/2022</v>
          </cell>
          <cell r="E29" t="str">
            <v>KG</v>
          </cell>
          <cell r="F29">
            <v>32.64</v>
          </cell>
          <cell r="G29">
            <v>7.82</v>
          </cell>
          <cell r="H29">
            <v>9.57</v>
          </cell>
          <cell r="I29">
            <v>312.36</v>
          </cell>
          <cell r="J29">
            <v>2.2295503211991434E-4</v>
          </cell>
        </row>
        <row r="30">
          <cell r="A30" t="str">
            <v>3.1.7</v>
          </cell>
          <cell r="B30" t="str">
            <v xml:space="preserve"> 92915 </v>
          </cell>
          <cell r="C30" t="str">
            <v>SINAPI</v>
          </cell>
          <cell r="D30" t="str">
            <v>ARMAÇÃO DE ESTRUTURAS DIVERSAS DE CONCRETO ARMADO, EXCETO VIGAS, PILARES, LAJES E FUNDAÇÕES, UTILIZANDO AÇO CA-60 DE 5,0 MM - MONTAGEM. AF_06/2022</v>
          </cell>
          <cell r="E30" t="str">
            <v>KG</v>
          </cell>
          <cell r="F30">
            <v>307.55</v>
          </cell>
          <cell r="G30">
            <v>12.4</v>
          </cell>
          <cell r="H30">
            <v>15.18</v>
          </cell>
          <cell r="I30">
            <v>4668.6000000000004</v>
          </cell>
          <cell r="J30">
            <v>3.3323340471092078E-3</v>
          </cell>
        </row>
        <row r="31">
          <cell r="A31" t="str">
            <v>3.1.8</v>
          </cell>
          <cell r="B31" t="str">
            <v xml:space="preserve"> 96558 </v>
          </cell>
          <cell r="C31" t="str">
            <v>SINAPI</v>
          </cell>
          <cell r="D31" t="str">
            <v>CONCRETAGEM DE SAPATAS, FCK 30 MPA, COM USO DE BOMBA  LANÇAMENTO, ADENSAMENTO E ACABAMENTO. AF_11/2016</v>
          </cell>
          <cell r="E31" t="str">
            <v>m³</v>
          </cell>
          <cell r="F31">
            <v>16.12</v>
          </cell>
          <cell r="G31">
            <v>438.13</v>
          </cell>
          <cell r="H31">
            <v>536.57000000000005</v>
          </cell>
          <cell r="I31">
            <v>8649.5</v>
          </cell>
          <cell r="J31">
            <v>6.173804425410421E-3</v>
          </cell>
        </row>
        <row r="32">
          <cell r="A32" t="str">
            <v xml:space="preserve"> 3.2 </v>
          </cell>
          <cell r="D32" t="str">
            <v>CONCRETO ARMADO PARA FUNDAÇÕES - VIGAS BALDRAMES</v>
          </cell>
          <cell r="I32">
            <v>62144.6</v>
          </cell>
          <cell r="J32">
            <v>4.4357316202712348E-2</v>
          </cell>
        </row>
        <row r="33">
          <cell r="A33" t="str">
            <v>3.2.1</v>
          </cell>
          <cell r="B33" t="str">
            <v xml:space="preserve"> 96536 </v>
          </cell>
          <cell r="C33" t="str">
            <v>SINAPI</v>
          </cell>
          <cell r="D33" t="str">
            <v>FABRICAÇÃO, MONTAGEM E DESMONTAGEM DE FÔRMA PARA VIGA BALDRAME, EM MADEIRA SERRADA, E=25 MM, 4 UTILIZAÇÕES. AF_06/2017</v>
          </cell>
          <cell r="E33" t="str">
            <v>m²</v>
          </cell>
          <cell r="F33">
            <v>463.48</v>
          </cell>
          <cell r="G33">
            <v>52.7</v>
          </cell>
          <cell r="H33">
            <v>64.540000000000006</v>
          </cell>
          <cell r="I33">
            <v>29912.99</v>
          </cell>
          <cell r="J33">
            <v>2.1351170592433976E-2</v>
          </cell>
        </row>
        <row r="34">
          <cell r="A34" t="str">
            <v>3.2.2</v>
          </cell>
          <cell r="B34" t="str">
            <v xml:space="preserve"> 92916 </v>
          </cell>
          <cell r="C34" t="str">
            <v>SINAPI</v>
          </cell>
          <cell r="D34" t="str">
            <v>ARMAÇÃO DE ESTRUTURAS DIVERSAS DE CONCRETO ARMADO, EXCETO VIGAS, PILARES, LAJES E FUNDAÇÕES, UTILIZANDO AÇO CA-50 DE 6,3 MM - MONTAGEM. AF_06/2022</v>
          </cell>
          <cell r="E34" t="str">
            <v>KG</v>
          </cell>
          <cell r="F34">
            <v>0.73</v>
          </cell>
          <cell r="G34">
            <v>11.54</v>
          </cell>
          <cell r="H34">
            <v>14.13</v>
          </cell>
          <cell r="I34">
            <v>10.31</v>
          </cell>
          <cell r="J34">
            <v>7.359029264810849E-6</v>
          </cell>
        </row>
        <row r="35">
          <cell r="A35" t="str">
            <v>3.2.3</v>
          </cell>
          <cell r="B35" t="str">
            <v xml:space="preserve"> 92917 </v>
          </cell>
          <cell r="C35" t="str">
            <v>SINAPI</v>
          </cell>
          <cell r="D35" t="str">
            <v>ARMAÇÃO DE ESTRUTURAS DIVERSAS DE CONCRETO ARMADO, EXCETO VIGAS, PILARES, LAJES E FUNDAÇÕES, UTILIZANDO AÇO CA-50 DE 8,0 MM - MONTAGEM. AF_06/2022</v>
          </cell>
          <cell r="E35" t="str">
            <v>KG</v>
          </cell>
          <cell r="F35">
            <v>829.82</v>
          </cell>
          <cell r="G35">
            <v>10.65</v>
          </cell>
          <cell r="H35">
            <v>13.04</v>
          </cell>
          <cell r="I35">
            <v>10820.85</v>
          </cell>
          <cell r="J35">
            <v>7.7236616702355465E-3</v>
          </cell>
        </row>
        <row r="36">
          <cell r="A36" t="str">
            <v>3.2.4</v>
          </cell>
          <cell r="B36" t="str">
            <v xml:space="preserve"> 92919 </v>
          </cell>
          <cell r="C36" t="str">
            <v>SINAPI</v>
          </cell>
          <cell r="D36" t="str">
            <v>ARMAÇÃO DE ESTRUTURAS DIVERSAS DE CONCRETO ARMADO, EXCETO VIGAS, PILARES, LAJES E FUNDAÇÕES, UTILIZANDO AÇO CA-50 DE 10,0 MM - MONTAGEM. AF_06/2022</v>
          </cell>
          <cell r="E36" t="str">
            <v>KG</v>
          </cell>
          <cell r="F36">
            <v>100.82</v>
          </cell>
          <cell r="G36">
            <v>9.39</v>
          </cell>
          <cell r="H36">
            <v>11.49</v>
          </cell>
          <cell r="I36">
            <v>1158.42</v>
          </cell>
          <cell r="J36">
            <v>8.2685224839400425E-4</v>
          </cell>
        </row>
        <row r="37">
          <cell r="A37" t="str">
            <v>3.2.5</v>
          </cell>
          <cell r="B37" t="str">
            <v xml:space="preserve"> 92915 </v>
          </cell>
          <cell r="C37" t="str">
            <v>SINAPI</v>
          </cell>
          <cell r="D37" t="str">
            <v>ARMAÇÃO DE ESTRUTURAS DIVERSAS DE CONCRETO ARMADO, EXCETO VIGAS, PILARES, LAJES E FUNDAÇÕES, UTILIZANDO AÇO CA-60 DE 5,0 MM - MONTAGEM. AF_06/2022</v>
          </cell>
          <cell r="E37" t="str">
            <v>KG</v>
          </cell>
          <cell r="F37">
            <v>395</v>
          </cell>
          <cell r="G37">
            <v>12.4</v>
          </cell>
          <cell r="H37">
            <v>15.18</v>
          </cell>
          <cell r="I37">
            <v>5996.1</v>
          </cell>
          <cell r="J37">
            <v>4.2798715203426121E-3</v>
          </cell>
        </row>
        <row r="38">
          <cell r="A38" t="str">
            <v>3.2.6</v>
          </cell>
          <cell r="B38" t="str">
            <v xml:space="preserve"> 96557 </v>
          </cell>
          <cell r="C38" t="str">
            <v>SINAPI</v>
          </cell>
          <cell r="D38" t="str">
            <v>CONCRETAGEM DE BLOCOS DE COROAMENTO E VIGAS BALDRAMES, FCK 30 MPA, COM USO DE BOMBA  LANÇAMENTO, ADENSAMENTO E ACABAMENTO. AF_06/2017</v>
          </cell>
          <cell r="E38" t="str">
            <v>m³</v>
          </cell>
          <cell r="F38">
            <v>26.87</v>
          </cell>
          <cell r="G38">
            <v>432.91</v>
          </cell>
          <cell r="H38">
            <v>530.17999999999995</v>
          </cell>
          <cell r="I38">
            <v>14245.93</v>
          </cell>
          <cell r="J38">
            <v>1.0168401142041398E-2</v>
          </cell>
        </row>
        <row r="39">
          <cell r="A39" t="str">
            <v xml:space="preserve"> 3.3 </v>
          </cell>
          <cell r="D39" t="str">
            <v>CONCRETO ARMADO PARA FUNDAÇÕES - BASE CAIXA D'ÁGUA</v>
          </cell>
          <cell r="I39">
            <v>7800.67</v>
          </cell>
          <cell r="J39">
            <v>5.5679300499643109E-3</v>
          </cell>
        </row>
        <row r="40">
          <cell r="A40" t="str">
            <v>3.3.1</v>
          </cell>
          <cell r="B40" t="str">
            <v xml:space="preserve"> 96535 </v>
          </cell>
          <cell r="C40" t="str">
            <v>SINAPI</v>
          </cell>
          <cell r="D40" t="str">
            <v>FABRICAÇÃO, MONTAGEM E DESMONTAGEM DE FÔRMA PARA SAPATA, EM MADEIRA SERRADA, E=25 MM, 4 UTILIZAÇÕES. AF_06/2017</v>
          </cell>
          <cell r="E40" t="str">
            <v>m²</v>
          </cell>
          <cell r="F40">
            <v>5.6</v>
          </cell>
          <cell r="G40">
            <v>104.74</v>
          </cell>
          <cell r="H40">
            <v>128.27000000000001</v>
          </cell>
          <cell r="I40">
            <v>718.31</v>
          </cell>
          <cell r="J40">
            <v>5.1271234832262673E-4</v>
          </cell>
        </row>
        <row r="41">
          <cell r="A41" t="str">
            <v>3.3.2</v>
          </cell>
          <cell r="B41" t="str">
            <v xml:space="preserve"> 92919 </v>
          </cell>
          <cell r="C41" t="str">
            <v>SINAPI</v>
          </cell>
          <cell r="D41" t="str">
            <v>ARMAÇÃO DE ESTRUTURAS DIVERSAS DE CONCRETO ARMADO, EXCETO VIGAS, PILARES, LAJES E FUNDAÇÕES, UTILIZANDO AÇO CA-50 DE 10,0 MM - MONTAGEM. AF_06/2022</v>
          </cell>
          <cell r="E41" t="str">
            <v>KG</v>
          </cell>
          <cell r="F41">
            <v>325</v>
          </cell>
          <cell r="G41">
            <v>9.39</v>
          </cell>
          <cell r="H41">
            <v>11.49</v>
          </cell>
          <cell r="I41">
            <v>3734.25</v>
          </cell>
          <cell r="J41">
            <v>2.6654175588865098E-3</v>
          </cell>
        </row>
        <row r="42">
          <cell r="A42" t="str">
            <v>3.3.3</v>
          </cell>
          <cell r="B42" t="str">
            <v xml:space="preserve"> 92915 </v>
          </cell>
          <cell r="C42" t="str">
            <v>SINAPI</v>
          </cell>
          <cell r="D42" t="str">
            <v>ARMAÇÃO DE ESTRUTURAS DIVERSAS DE CONCRETO ARMADO, EXCETO VIGAS, PILARES, LAJES E FUNDAÇÕES, UTILIZANDO AÇO CA-60 DE 5,0 MM - MONTAGEM. AF_06/2022</v>
          </cell>
          <cell r="E42" t="str">
            <v>KG</v>
          </cell>
          <cell r="F42">
            <v>82</v>
          </cell>
          <cell r="G42">
            <v>12.4</v>
          </cell>
          <cell r="H42">
            <v>15.18</v>
          </cell>
          <cell r="I42">
            <v>1244.76</v>
          </cell>
          <cell r="J42">
            <v>8.8847965738758031E-4</v>
          </cell>
        </row>
        <row r="43">
          <cell r="A43" t="str">
            <v>3.3.4</v>
          </cell>
          <cell r="B43" t="str">
            <v xml:space="preserve"> 96558 </v>
          </cell>
          <cell r="C43" t="str">
            <v>SINAPI</v>
          </cell>
          <cell r="D43" t="str">
            <v>CONCRETAGEM DE SAPATAS, FCK 30 MPA, COM USO DE BOMBA  LANÇAMENTO, ADENSAMENTO E ACABAMENTO. AF_11/2016</v>
          </cell>
          <cell r="E43" t="str">
            <v>m³</v>
          </cell>
          <cell r="F43">
            <v>3.92</v>
          </cell>
          <cell r="G43">
            <v>438.13</v>
          </cell>
          <cell r="H43">
            <v>536.57000000000005</v>
          </cell>
          <cell r="I43">
            <v>2103.35</v>
          </cell>
          <cell r="J43">
            <v>1.5013204853675946E-3</v>
          </cell>
        </row>
        <row r="44">
          <cell r="A44" t="str">
            <v xml:space="preserve"> 4 </v>
          </cell>
          <cell r="D44" t="str">
            <v>SUPERESTRUTURA</v>
          </cell>
          <cell r="I44">
            <v>173762.92</v>
          </cell>
          <cell r="J44">
            <v>0.1240277801570307</v>
          </cell>
        </row>
        <row r="45">
          <cell r="A45" t="str">
            <v xml:space="preserve"> 4.1 </v>
          </cell>
          <cell r="D45" t="str">
            <v>CONCRETO ARMADO - VIGAS</v>
          </cell>
          <cell r="I45">
            <v>65370.7</v>
          </cell>
          <cell r="J45">
            <v>4.6660028551034974E-2</v>
          </cell>
        </row>
        <row r="46">
          <cell r="A46" t="str">
            <v>4.1.1</v>
          </cell>
          <cell r="B46" t="str">
            <v xml:space="preserve"> 92471 </v>
          </cell>
          <cell r="C46" t="str">
            <v>SINAPI</v>
          </cell>
          <cell r="D46" t="str">
            <v>MONTAGEM E DESMONTAGEM DE FÔRMA DE VIGA, ESCORAMENTO COM GARFO DE MADEIRA, PÉ-DIREITO SIMPLES, EM CHAPA DE MADEIRA PLASTIFICADA, 12 UTILIZAÇÕES. AF_09/2020</v>
          </cell>
          <cell r="E46" t="str">
            <v>m²</v>
          </cell>
          <cell r="F46">
            <v>453.62</v>
          </cell>
          <cell r="G46">
            <v>63.48</v>
          </cell>
          <cell r="H46">
            <v>77.739999999999995</v>
          </cell>
          <cell r="I46">
            <v>35264.410000000003</v>
          </cell>
          <cell r="J46">
            <v>2.5170885082084225E-2</v>
          </cell>
        </row>
        <row r="47">
          <cell r="A47" t="str">
            <v>4.1.2</v>
          </cell>
          <cell r="B47" t="str">
            <v xml:space="preserve"> 92760 </v>
          </cell>
          <cell r="C47" t="str">
            <v>SINAPI</v>
          </cell>
          <cell r="D47" t="str">
            <v>ARMAÇÃO DE PILAR OU VIGA DE ESTRUTURA CONVENCIONAL DE CONCRETO ARMADO UTILIZANDO AÇO CA-50 DE 6,3 MM - MONTAGEM. AF_06/2022</v>
          </cell>
          <cell r="E47" t="str">
            <v>KG</v>
          </cell>
          <cell r="F47">
            <v>0.73</v>
          </cell>
          <cell r="G47">
            <v>10.23</v>
          </cell>
          <cell r="H47">
            <v>12.52</v>
          </cell>
          <cell r="I47">
            <v>9.1300000000000008</v>
          </cell>
          <cell r="J47">
            <v>6.516773733047823E-6</v>
          </cell>
        </row>
        <row r="48">
          <cell r="A48" t="str">
            <v>4.1.3</v>
          </cell>
          <cell r="B48" t="str">
            <v xml:space="preserve"> 92761 </v>
          </cell>
          <cell r="C48" t="str">
            <v>SINAPI</v>
          </cell>
          <cell r="D48" t="str">
            <v>ARMAÇÃO DE PILAR OU VIGA DE ESTRUTURA CONVENCIONAL DE CONCRETO ARMADO UTILIZANDO AÇO CA-50 DE 8,0 MM - MONTAGEM. AF_06/2022</v>
          </cell>
          <cell r="E48" t="str">
            <v>KG</v>
          </cell>
          <cell r="F48">
            <v>829.82</v>
          </cell>
          <cell r="G48">
            <v>9.7200000000000006</v>
          </cell>
          <cell r="H48">
            <v>11.9</v>
          </cell>
          <cell r="I48">
            <v>9874.85</v>
          </cell>
          <cell r="J48">
            <v>7.0484296930763742E-3</v>
          </cell>
        </row>
        <row r="49">
          <cell r="A49" t="str">
            <v>4.1.4</v>
          </cell>
          <cell r="B49" t="str">
            <v xml:space="preserve"> 92762 </v>
          </cell>
          <cell r="C49" t="str">
            <v>SINAPI</v>
          </cell>
          <cell r="D49" t="str">
            <v>ARMAÇÃO DE PILAR OU VIGA DE ESTRUTURA CONVENCIONAL DE CONCRETO ARMADO UTILIZANDO AÇO CA-50 DE 10,0 MM - MONTAGEM. AF_06/2022</v>
          </cell>
          <cell r="E49" t="str">
            <v>KG</v>
          </cell>
          <cell r="F49">
            <v>100.82</v>
          </cell>
          <cell r="G49">
            <v>8.75</v>
          </cell>
          <cell r="H49">
            <v>10.71</v>
          </cell>
          <cell r="I49">
            <v>1079.78</v>
          </cell>
          <cell r="J49">
            <v>7.7072091363311916E-4</v>
          </cell>
        </row>
        <row r="50">
          <cell r="A50" t="str">
            <v>4.1.5</v>
          </cell>
          <cell r="B50" t="str">
            <v xml:space="preserve"> 92759 </v>
          </cell>
          <cell r="C50" t="str">
            <v>SINAPI</v>
          </cell>
          <cell r="D50" t="str">
            <v>ARMAÇÃO DE PILAR OU VIGA DE ESTRUTURA CONVENCIONAL DE CONCRETO ARMADO UTILIZANDO AÇO CA-60 DE 5,0 MM - MONTAGEM. AF_06/2022</v>
          </cell>
          <cell r="E50" t="str">
            <v>KG</v>
          </cell>
          <cell r="F50">
            <v>379</v>
          </cell>
          <cell r="G50">
            <v>10.63</v>
          </cell>
          <cell r="H50">
            <v>13.01</v>
          </cell>
          <cell r="I50">
            <v>4930.79</v>
          </cell>
          <cell r="J50">
            <v>3.5194789436117061E-3</v>
          </cell>
        </row>
        <row r="51">
          <cell r="A51" t="str">
            <v>4.1.6</v>
          </cell>
          <cell r="B51" t="str">
            <v xml:space="preserve"> 103675 </v>
          </cell>
          <cell r="C51" t="str">
            <v>SINAPI</v>
          </cell>
          <cell r="D51" t="str">
            <v>CONCRETAGEM DE VIGAS E LAJES, FCK=25 MPA, PARA LAJES MACIÇAS OU NERVURADAS COM USO DE BOMBA - LANÇAMENTO, ADENSAMENTO E ACABAMENTO. AF_02/2022_PS</v>
          </cell>
          <cell r="E51" t="str">
            <v>m³</v>
          </cell>
          <cell r="F51">
            <v>27.81</v>
          </cell>
          <cell r="G51">
            <v>417.27</v>
          </cell>
          <cell r="H51">
            <v>511.03</v>
          </cell>
          <cell r="I51">
            <v>14211.74</v>
          </cell>
          <cell r="J51">
            <v>1.0143997144896503E-2</v>
          </cell>
        </row>
        <row r="52">
          <cell r="A52" t="str">
            <v xml:space="preserve"> 4.2 </v>
          </cell>
          <cell r="D52" t="str">
            <v>CONCRETO ARMADO - LAJES E PILARES</v>
          </cell>
          <cell r="I52">
            <v>40599.879999999997</v>
          </cell>
          <cell r="J52">
            <v>2.8979214846538186E-2</v>
          </cell>
        </row>
        <row r="53">
          <cell r="A53" t="str">
            <v>4.2.1</v>
          </cell>
          <cell r="B53" t="str">
            <v xml:space="preserve"> 92435 </v>
          </cell>
          <cell r="C53" t="str">
            <v>SINAPI</v>
          </cell>
          <cell r="D53" t="str">
            <v>MONTAGEM E DESMONTAGEM DE FÔRMA DE PILARES RETANGULARES E ESTRUTURAS SIMILARES, PÉ-DIREITO SIMPLES, EM CHAPA DE MADEIRA COMPENSADA PLASTIFICADA, 12 UTILIZAÇÕES. AF_09/2020</v>
          </cell>
          <cell r="E53" t="str">
            <v>m²</v>
          </cell>
          <cell r="F53">
            <v>319.27</v>
          </cell>
          <cell r="G53">
            <v>33.28</v>
          </cell>
          <cell r="H53">
            <v>40.75</v>
          </cell>
          <cell r="I53">
            <v>13010.25</v>
          </cell>
          <cell r="J53">
            <v>9.2864025695931478E-3</v>
          </cell>
        </row>
        <row r="54">
          <cell r="A54" t="str">
            <v>4.2.2</v>
          </cell>
          <cell r="B54" t="str">
            <v xml:space="preserve"> 92919 </v>
          </cell>
          <cell r="C54" t="str">
            <v>SINAPI</v>
          </cell>
          <cell r="D54" t="str">
            <v>ARMAÇÃO DE ESTRUTURAS DIVERSAS DE CONCRETO ARMADO, EXCETO VIGAS, PILARES, LAJES E FUNDAÇÕES, UTILIZANDO AÇO CA-50 DE 10,0 MM - MONTAGEM. AF_06/2022</v>
          </cell>
          <cell r="E54" t="str">
            <v>KG</v>
          </cell>
          <cell r="F54">
            <v>1063.9100000000001</v>
          </cell>
          <cell r="G54">
            <v>9.39</v>
          </cell>
          <cell r="H54">
            <v>11.49</v>
          </cell>
          <cell r="I54">
            <v>12224.32</v>
          </cell>
          <cell r="J54">
            <v>8.7254246966452526E-3</v>
          </cell>
        </row>
        <row r="55">
          <cell r="A55" t="str">
            <v>4.2.3</v>
          </cell>
          <cell r="B55" t="str">
            <v xml:space="preserve"> 92921 </v>
          </cell>
          <cell r="C55" t="str">
            <v>SINAPI</v>
          </cell>
          <cell r="D55" t="str">
            <v>ARMAÇÃO DE ESTRUTURAS DIVERSAS DE CONCRETO ARMADO, EXCETO VIGAS, PILARES, LAJES E FUNDAÇÕES, UTILIZANDO AÇO CA-50 DE 12,5 MM - MONTAGEM. AF_06/2022</v>
          </cell>
          <cell r="E55" t="str">
            <v>KG</v>
          </cell>
          <cell r="F55">
            <v>102.27</v>
          </cell>
          <cell r="G55">
            <v>7.82</v>
          </cell>
          <cell r="H55">
            <v>9.57</v>
          </cell>
          <cell r="I55">
            <v>978.72</v>
          </cell>
          <cell r="J55">
            <v>6.9858672376873663E-4</v>
          </cell>
        </row>
        <row r="56">
          <cell r="A56" t="str">
            <v>4.2.4</v>
          </cell>
          <cell r="B56" t="str">
            <v xml:space="preserve"> 92915 </v>
          </cell>
          <cell r="C56" t="str">
            <v>SINAPI</v>
          </cell>
          <cell r="D56" t="str">
            <v>ARMAÇÃO DE ESTRUTURAS DIVERSAS DE CONCRETO ARMADO, EXCETO VIGAS, PILARES, LAJES E FUNDAÇÕES, UTILIZANDO AÇO CA-60 DE 5,0 MM - MONTAGEM. AF_06/2022</v>
          </cell>
          <cell r="E56" t="str">
            <v>KG</v>
          </cell>
          <cell r="F56">
            <v>404.73</v>
          </cell>
          <cell r="G56">
            <v>12.4</v>
          </cell>
          <cell r="H56">
            <v>15.18</v>
          </cell>
          <cell r="I56">
            <v>6143.8</v>
          </cell>
          <cell r="J56">
            <v>4.3852962169878655E-3</v>
          </cell>
        </row>
        <row r="57">
          <cell r="A57" t="str">
            <v>4.2.5</v>
          </cell>
          <cell r="B57" t="str">
            <v xml:space="preserve"> 103672 </v>
          </cell>
          <cell r="C57" t="str">
            <v>SINAPI</v>
          </cell>
          <cell r="D57" t="str">
            <v>CONCRETAGEM DE PILARES, FCK = 25 MPA, COM USO DE BOMBA - LANÇAMENTO, ADENSAMENTO E ACABAMENTO. AF_02/2022_PS</v>
          </cell>
          <cell r="E57" t="str">
            <v>m³</v>
          </cell>
          <cell r="F57">
            <v>16.149999999999999</v>
          </cell>
          <cell r="G57">
            <v>416.75</v>
          </cell>
          <cell r="H57">
            <v>510.39</v>
          </cell>
          <cell r="I57">
            <v>8242.7900000000009</v>
          </cell>
          <cell r="J57">
            <v>5.8835046395431835E-3</v>
          </cell>
        </row>
        <row r="58">
          <cell r="A58" t="str">
            <v xml:space="preserve"> 4.3 </v>
          </cell>
          <cell r="D58" t="str">
            <v>CONCRETO ARMADO - LAJES DE FORRO</v>
          </cell>
          <cell r="I58">
            <v>55985.86</v>
          </cell>
          <cell r="J58">
            <v>3.9961356174161314E-2</v>
          </cell>
        </row>
        <row r="59">
          <cell r="A59" t="str">
            <v>4.3.1</v>
          </cell>
          <cell r="B59" t="str">
            <v xml:space="preserve"> COM-A2023 </v>
          </cell>
          <cell r="C59" t="str">
            <v>Próprio</v>
          </cell>
          <cell r="D59" t="str">
            <v>LAJE PRÉ-MOLDADA P/FORRO, SOBRECARGA 100KG/M², VÃO ATÉ 3,50 M/E = 8CM, COM LAJOTAS E CAPA C/ CONC. FCK=20MPA, 3CM, INTER-EIXO 38CM, C/ESCORAMENTO (REAPR. 3X) E FERRAGEM-PREÇO 02/23 - SINAPI/PB. (M²)</v>
          </cell>
          <cell r="E59" t="str">
            <v>M²</v>
          </cell>
          <cell r="F59">
            <v>647.46</v>
          </cell>
          <cell r="G59">
            <v>70.61</v>
          </cell>
          <cell r="H59">
            <v>86.47</v>
          </cell>
          <cell r="I59">
            <v>55985.86</v>
          </cell>
          <cell r="J59">
            <v>3.9961356174161314E-2</v>
          </cell>
        </row>
        <row r="60">
          <cell r="A60" t="str">
            <v xml:space="preserve"> 4.4 </v>
          </cell>
          <cell r="D60" t="str">
            <v>CONCRTEO ARMADO - VERGAS E CONTRAVERGAS</v>
          </cell>
          <cell r="I60">
            <v>11806.48</v>
          </cell>
          <cell r="J60">
            <v>8.4271805852962171E-3</v>
          </cell>
        </row>
        <row r="61">
          <cell r="A61" t="str">
            <v>4.4.1</v>
          </cell>
          <cell r="B61" t="str">
            <v xml:space="preserve"> 93183 </v>
          </cell>
          <cell r="C61" t="str">
            <v>SINAPI</v>
          </cell>
          <cell r="D61" t="str">
            <v>VERGA PRÉ-MOLDADA PARA JANELAS COM MAIS DE 1,5 M DE VÃO. AF_03/2016</v>
          </cell>
          <cell r="E61" t="str">
            <v>M</v>
          </cell>
          <cell r="F61">
            <v>232</v>
          </cell>
          <cell r="G61">
            <v>41.56</v>
          </cell>
          <cell r="H61">
            <v>50.89</v>
          </cell>
          <cell r="I61">
            <v>11806.48</v>
          </cell>
          <cell r="J61">
            <v>8.4271805852962171E-3</v>
          </cell>
        </row>
        <row r="62">
          <cell r="A62" t="str">
            <v xml:space="preserve"> 5 </v>
          </cell>
          <cell r="D62" t="str">
            <v>SISTEMA DE VEDAÇÃO VERTICAL</v>
          </cell>
          <cell r="I62">
            <v>53575.28</v>
          </cell>
          <cell r="J62">
            <v>3.8240742326909348E-2</v>
          </cell>
        </row>
        <row r="63">
          <cell r="A63" t="str">
            <v>5.1</v>
          </cell>
          <cell r="B63" t="str">
            <v xml:space="preserve"> 103322 </v>
          </cell>
          <cell r="C63" t="str">
            <v>SINAPI</v>
          </cell>
          <cell r="D63" t="str">
            <v>ALVENARIA DE VEDAÇÃO DE BLOCOS CERÂMICOS FURADOS NA VERTICAL DE 9X19X39 CM (ESPESSURA 9 CM) E ARGAMASSA DE ASSENTAMENTO COM PREPARO EM BETONEIRA. AF_12/2021</v>
          </cell>
          <cell r="E63" t="str">
            <v>m²</v>
          </cell>
          <cell r="F63">
            <v>914.03</v>
          </cell>
          <cell r="G63">
            <v>37.1</v>
          </cell>
          <cell r="H63">
            <v>45.43</v>
          </cell>
          <cell r="I63">
            <v>41524.379999999997</v>
          </cell>
          <cell r="J63">
            <v>2.9639100642398285E-2</v>
          </cell>
        </row>
        <row r="64">
          <cell r="A64" t="str">
            <v>5.2</v>
          </cell>
          <cell r="B64" t="str">
            <v xml:space="preserve"> 93202 </v>
          </cell>
          <cell r="C64" t="str">
            <v>SINAPI</v>
          </cell>
          <cell r="D64" t="str">
            <v>FIXAÇÃO (ENCUNHAMENTO) DE ALVENARIA DE VEDAÇÃO COM TIJOLO MACIÇO. AF_03/2016</v>
          </cell>
          <cell r="E64" t="str">
            <v>M</v>
          </cell>
          <cell r="F64">
            <v>295.3</v>
          </cell>
          <cell r="G64">
            <v>17.8</v>
          </cell>
          <cell r="H64">
            <v>21.79</v>
          </cell>
          <cell r="I64">
            <v>6434.58</v>
          </cell>
          <cell r="J64">
            <v>4.5928479657387578E-3</v>
          </cell>
        </row>
        <row r="65">
          <cell r="A65" t="str">
            <v>5.3</v>
          </cell>
          <cell r="B65" t="str">
            <v xml:space="preserve"> C4070 </v>
          </cell>
          <cell r="C65" t="str">
            <v>SEINFRA</v>
          </cell>
          <cell r="D65" t="str">
            <v>DIVISÓRIA DE GRANITO CINZA E=2cm</v>
          </cell>
          <cell r="E65" t="str">
            <v>m²</v>
          </cell>
          <cell r="F65">
            <v>12.92</v>
          </cell>
          <cell r="G65">
            <v>354.95</v>
          </cell>
          <cell r="H65">
            <v>434.7</v>
          </cell>
          <cell r="I65">
            <v>5616.32</v>
          </cell>
          <cell r="J65">
            <v>4.0087937187723056E-3</v>
          </cell>
        </row>
        <row r="66">
          <cell r="A66" t="str">
            <v xml:space="preserve"> 6 </v>
          </cell>
          <cell r="D66" t="str">
            <v>ESQUADRIAS</v>
          </cell>
          <cell r="I66">
            <v>149488.57</v>
          </cell>
          <cell r="J66">
            <v>0.10670133476088509</v>
          </cell>
        </row>
        <row r="67">
          <cell r="A67" t="str">
            <v xml:space="preserve"> 6.1 </v>
          </cell>
          <cell r="D67" t="str">
            <v>PORTAS DE MADEIRA</v>
          </cell>
          <cell r="I67">
            <v>25618.06</v>
          </cell>
          <cell r="J67">
            <v>1.8285553176302642E-2</v>
          </cell>
        </row>
        <row r="68">
          <cell r="A68" t="str">
            <v>6.1.1</v>
          </cell>
          <cell r="B68" t="str">
            <v xml:space="preserve"> 90843 </v>
          </cell>
          <cell r="C68" t="str">
            <v>SINAPI</v>
          </cell>
          <cell r="D68" t="str">
            <v>KIT DE PORTA DE MADEIRA PARA PINTURA, SEMI-OCA (LEVE OU MÉDIA), PADRÃO MÉDIO, 80X210CM, ESPESSURA DE 3,5CM, ITENS INCLUSOS: DOBRADIÇAS, MONTAGEM E INSTALAÇÃO DO BATENTE, FECHADURA COM EXECUÇÃO DO FURO - FORNECIMENTO E INSTALAÇÃO. AF_12/2019</v>
          </cell>
          <cell r="E68" t="str">
            <v>UN</v>
          </cell>
          <cell r="F68">
            <v>7</v>
          </cell>
          <cell r="G68">
            <v>730.3</v>
          </cell>
          <cell r="H68">
            <v>894.39</v>
          </cell>
          <cell r="I68">
            <v>6260.73</v>
          </cell>
          <cell r="J68">
            <v>4.4687580299785871E-3</v>
          </cell>
        </row>
        <row r="69">
          <cell r="A69" t="str">
            <v>6.1.2</v>
          </cell>
          <cell r="B69" t="str">
            <v xml:space="preserve"> 91314 </v>
          </cell>
          <cell r="C69" t="str">
            <v>SINAPI</v>
          </cell>
          <cell r="D69" t="str">
            <v>KIT DE PORTA DE MADEIRA PARA PINTURA, SEMI-OCA (LEVE OU MÉDIA), PADRÃO POPULAR, 80X210CM, ESPESSURA DE 3,5CM, ITENS INCLUSOS: DOBRADIÇAS, MONTAGEM E INSTALAÇÃO DO BATENTE, FECHADURA COM EXECUÇÃO DO FURO - FORNECIMENTO E INSTALAÇÃO. AF_12/2019</v>
          </cell>
          <cell r="E69" t="str">
            <v>UN</v>
          </cell>
          <cell r="F69">
            <v>7</v>
          </cell>
          <cell r="G69">
            <v>606.26</v>
          </cell>
          <cell r="H69">
            <v>742.48</v>
          </cell>
          <cell r="I69">
            <v>5197.3599999999997</v>
          </cell>
          <cell r="J69">
            <v>3.7097501784439687E-3</v>
          </cell>
        </row>
        <row r="70">
          <cell r="A70" t="str">
            <v>6.1.3</v>
          </cell>
          <cell r="B70" t="str">
            <v xml:space="preserve"> 90843 </v>
          </cell>
          <cell r="C70" t="str">
            <v>SINAPI</v>
          </cell>
          <cell r="D70" t="str">
            <v>KIT DE PORTA DE MADEIRA PARA PINTURA, SEMI-OCA (LEVE OU MÉDIA), PADRÃO MÉDIO, 80X210CM, ESPESSURA DE 3,5CM, ITENS INCLUSOS: DOBRADIÇAS, MONTAGEM E INSTALAÇÃO DO BATENTE, FECHADURA COM EXECUÇÃO DO FURO - FORNECIMENTO E INSTALAÇÃO. AF_12/2019</v>
          </cell>
          <cell r="E70" t="str">
            <v>UN</v>
          </cell>
          <cell r="F70">
            <v>2</v>
          </cell>
          <cell r="G70">
            <v>730.3</v>
          </cell>
          <cell r="H70">
            <v>894.39</v>
          </cell>
          <cell r="I70">
            <v>1788.78</v>
          </cell>
          <cell r="J70">
            <v>1.2767880085653104E-3</v>
          </cell>
        </row>
        <row r="71">
          <cell r="A71" t="str">
            <v>6.1.4</v>
          </cell>
          <cell r="B71" t="str">
            <v xml:space="preserve"> COM-B2023 </v>
          </cell>
          <cell r="C71" t="str">
            <v>Próprio</v>
          </cell>
          <cell r="D71" t="str">
            <v>PM4 - PORTA DE ABRIR EM MADEIRA PARA PINTURA 0,6 X 2,1M, ESPESSURA DE 3,5 CM, COM VENEZIANA 0,5 X 0,40M, CONFORMA PROJETO, INCLUSO DOBRADIÇAS, BATENTES E FECHADURAS</v>
          </cell>
          <cell r="E71" t="str">
            <v>UN</v>
          </cell>
          <cell r="F71">
            <v>1</v>
          </cell>
          <cell r="G71">
            <v>986.59</v>
          </cell>
          <cell r="H71">
            <v>1208.27</v>
          </cell>
          <cell r="I71">
            <v>1208.27</v>
          </cell>
          <cell r="J71">
            <v>8.624339757316203E-4</v>
          </cell>
        </row>
        <row r="72">
          <cell r="A72" t="str">
            <v>6.1.5</v>
          </cell>
          <cell r="B72" t="str">
            <v xml:space="preserve"> 100692 </v>
          </cell>
          <cell r="C72" t="str">
            <v>SINAPI</v>
          </cell>
          <cell r="D72" t="str">
            <v>KIT DE PORTA DE MADEIRA TIPO VENEZIANA, 80X210CM (ESPESSURA DE 3CM), PADRÃO POPULAR, ITENS INCLUSOS: DOBRADIÇAS, MONTAGEM E INSTALAÇÃO DE BATENTE, FECHADURA COM EXECUÇÃO DO FURO - FORNECIMENTO E INSTALAÇÃO. AF_12/2019</v>
          </cell>
          <cell r="E72" t="str">
            <v>UN</v>
          </cell>
          <cell r="F72">
            <v>3</v>
          </cell>
          <cell r="G72">
            <v>988.77</v>
          </cell>
          <cell r="H72">
            <v>1210.94</v>
          </cell>
          <cell r="I72">
            <v>3632.82</v>
          </cell>
          <cell r="J72">
            <v>2.593019271948608E-3</v>
          </cell>
        </row>
        <row r="73">
          <cell r="A73" t="str">
            <v>6.1.6</v>
          </cell>
          <cell r="B73" t="str">
            <v xml:space="preserve"> COM-C2023 </v>
          </cell>
          <cell r="C73" t="str">
            <v>Próprio</v>
          </cell>
          <cell r="D73" t="str">
            <v>PM6 - PORTA DE ABRIR EM CHAPA DE MADEIRA COMPENSADA PARA BANHEIRO REVESTIDA COM LAMINADO 0,6 X 1,60 M, INCLUSO MARCO E DOBRADIÇAS. (REF. SINAPI/02/2023, SBC 04/2023)(UN)</v>
          </cell>
          <cell r="E73" t="str">
            <v>UN</v>
          </cell>
          <cell r="F73">
            <v>3</v>
          </cell>
          <cell r="G73">
            <v>1125.06</v>
          </cell>
          <cell r="H73">
            <v>1377.86</v>
          </cell>
          <cell r="I73">
            <v>4133.58</v>
          </cell>
          <cell r="J73">
            <v>2.9504496788008566E-3</v>
          </cell>
        </row>
        <row r="74">
          <cell r="A74" t="str">
            <v>6.1.7</v>
          </cell>
          <cell r="B74" t="str">
            <v xml:space="preserve"> COM-D2023 </v>
          </cell>
          <cell r="C74" t="str">
            <v>Próprio</v>
          </cell>
          <cell r="D74" t="str">
            <v>PM7 - PORTA DE ABRIR EM CHAPA DE MADEIRA COMPENSADA PARA BANHEIRO REVESTIDA COM LAMINADO 0,80 X 1,60 M, INCLUSO MARCO E DOBRADIÇAS</v>
          </cell>
          <cell r="E74" t="str">
            <v>UN</v>
          </cell>
          <cell r="F74">
            <v>2</v>
          </cell>
          <cell r="G74">
            <v>1386.68</v>
          </cell>
          <cell r="H74">
            <v>1698.26</v>
          </cell>
          <cell r="I74">
            <v>3396.52</v>
          </cell>
          <cell r="J74">
            <v>2.4243540328336903E-3</v>
          </cell>
        </row>
        <row r="75">
          <cell r="A75" t="str">
            <v xml:space="preserve"> 6.2 </v>
          </cell>
          <cell r="D75" t="str">
            <v>FERRAGENS E ACESSÓRIOS</v>
          </cell>
          <cell r="I75">
            <v>996.45</v>
          </cell>
          <cell r="J75">
            <v>7.1124197002141328E-4</v>
          </cell>
        </row>
        <row r="76">
          <cell r="A76" t="str">
            <v>6.2.1</v>
          </cell>
          <cell r="B76" t="str">
            <v xml:space="preserve"> 100874 </v>
          </cell>
          <cell r="C76" t="str">
            <v>SINAPI</v>
          </cell>
          <cell r="D76" t="str">
            <v>PUXADOR PARA PCD, FIXADO NA PORTA - FORNECIMENTO E INSTALAÇÃO. AF_01/2020</v>
          </cell>
          <cell r="E76" t="str">
            <v>UN</v>
          </cell>
          <cell r="F76">
            <v>2</v>
          </cell>
          <cell r="G76">
            <v>227.31</v>
          </cell>
          <cell r="H76">
            <v>278.38</v>
          </cell>
          <cell r="I76">
            <v>556.76</v>
          </cell>
          <cell r="J76">
            <v>3.9740185581727336E-4</v>
          </cell>
        </row>
        <row r="77">
          <cell r="A77" t="str">
            <v>6.2.2</v>
          </cell>
          <cell r="B77" t="str">
            <v xml:space="preserve"> COM-E2023 </v>
          </cell>
          <cell r="C77" t="str">
            <v>Próprio</v>
          </cell>
          <cell r="D77" t="str">
            <v>FECHADURA DE EMBUTIR COMPLETA, TIPO TARJETA LIVRE - OCUPADO</v>
          </cell>
          <cell r="E77" t="str">
            <v>UN</v>
          </cell>
          <cell r="F77">
            <v>5</v>
          </cell>
          <cell r="G77">
            <v>39.26</v>
          </cell>
          <cell r="H77">
            <v>48.08</v>
          </cell>
          <cell r="I77">
            <v>240.4</v>
          </cell>
          <cell r="J77">
            <v>1.7159172019985723E-4</v>
          </cell>
        </row>
        <row r="78">
          <cell r="A78" t="str">
            <v>6.2.3</v>
          </cell>
          <cell r="B78" t="str">
            <v xml:space="preserve"> COM-F2023 </v>
          </cell>
          <cell r="C78" t="str">
            <v>Próprio</v>
          </cell>
          <cell r="D78" t="str">
            <v>CHAPA MATÁLICA (ALUMÍNIO) 0,80M 0,40 MM, E= 1MM PARA AS PORTAS</v>
          </cell>
          <cell r="E78" t="str">
            <v>M²</v>
          </cell>
          <cell r="F78">
            <v>2.88</v>
          </cell>
          <cell r="G78">
            <v>56.51</v>
          </cell>
          <cell r="H78">
            <v>69.2</v>
          </cell>
          <cell r="I78">
            <v>199.29</v>
          </cell>
          <cell r="J78">
            <v>1.4224839400428266E-4</v>
          </cell>
        </row>
        <row r="79">
          <cell r="A79" t="str">
            <v xml:space="preserve"> 6.3 </v>
          </cell>
          <cell r="D79" t="str">
            <v>PORTAS DE ALUMÍNIO</v>
          </cell>
          <cell r="I79">
            <v>461.96</v>
          </cell>
          <cell r="J79">
            <v>3.2973590292648109E-4</v>
          </cell>
        </row>
        <row r="80">
          <cell r="A80" t="str">
            <v>6.3.1</v>
          </cell>
          <cell r="B80" t="str">
            <v xml:space="preserve"> 11947 </v>
          </cell>
          <cell r="C80" t="str">
            <v>ORSE</v>
          </cell>
          <cell r="D80" t="str">
            <v>Porta em alumínio, cor N/P/B, tipo veneziana (até 50%) e vidro (até 50%), de abrir ou correr, completa, inclusive caixilhos, dobradiças ou roldanas, fechadura exclusive vidro</v>
          </cell>
          <cell r="E80" t="str">
            <v>m²</v>
          </cell>
          <cell r="F80">
            <v>1.68</v>
          </cell>
          <cell r="G80">
            <v>224.53</v>
          </cell>
          <cell r="H80">
            <v>274.98</v>
          </cell>
          <cell r="I80">
            <v>461.96</v>
          </cell>
          <cell r="J80">
            <v>3.2973590292648109E-4</v>
          </cell>
        </row>
        <row r="81">
          <cell r="A81" t="str">
            <v xml:space="preserve"> 6.4 </v>
          </cell>
          <cell r="D81" t="str">
            <v>JANELAS DE ALUMÍNIO</v>
          </cell>
          <cell r="I81">
            <v>120131.96</v>
          </cell>
          <cell r="J81">
            <v>8.5747294789436115E-2</v>
          </cell>
        </row>
        <row r="82">
          <cell r="A82" t="str">
            <v>6.4.1</v>
          </cell>
          <cell r="B82" t="str">
            <v xml:space="preserve"> 94569 </v>
          </cell>
          <cell r="C82" t="str">
            <v>SINAPI</v>
          </cell>
          <cell r="D82" t="str">
            <v>JANELA DE ALUMÍNIO TIPO MAXIM-AR, COM VIDROS, BATENTE E FERRAGENS. EXCLUSIVE ALIZAR, ACABAMENTO E CONTRAMARCO. FORNECIMENTO E INSTALAÇÃO. AF_12/2019</v>
          </cell>
          <cell r="E82" t="str">
            <v>m²</v>
          </cell>
          <cell r="F82">
            <v>0.24</v>
          </cell>
          <cell r="G82">
            <v>1057.71</v>
          </cell>
          <cell r="H82">
            <v>1295.3699999999999</v>
          </cell>
          <cell r="I82">
            <v>310.88</v>
          </cell>
          <cell r="J82">
            <v>2.2189864382583869E-4</v>
          </cell>
        </row>
        <row r="83">
          <cell r="A83" t="str">
            <v>6.4.2</v>
          </cell>
          <cell r="B83" t="str">
            <v xml:space="preserve"> 94569 </v>
          </cell>
          <cell r="C83" t="str">
            <v>SINAPI</v>
          </cell>
          <cell r="D83" t="str">
            <v>JANELA DE ALUMÍNIO TIPO MAXIM-AR, COM VIDROS, BATENTE E FERRAGENS. EXCLUSIVE ALIZAR, ACABAMENTO E CONTRAMARCO. FORNECIMENTO E INSTALAÇÃO. AF_12/2019</v>
          </cell>
          <cell r="E83" t="str">
            <v>m²</v>
          </cell>
          <cell r="F83">
            <v>1.08</v>
          </cell>
          <cell r="G83">
            <v>1057.71</v>
          </cell>
          <cell r="H83">
            <v>1295.3699999999999</v>
          </cell>
          <cell r="I83">
            <v>1398.99</v>
          </cell>
          <cell r="J83">
            <v>9.9856531049250527E-4</v>
          </cell>
        </row>
        <row r="84">
          <cell r="A84" t="str">
            <v>6.4.3</v>
          </cell>
          <cell r="B84" t="str">
            <v xml:space="preserve"> 94569 </v>
          </cell>
          <cell r="C84" t="str">
            <v>SINAPI</v>
          </cell>
          <cell r="D84" t="str">
            <v>JANELA DE ALUMÍNIO TIPO MAXIM-AR, COM VIDROS, BATENTE E FERRAGENS. EXCLUSIVE ALIZAR, ACABAMENTO E CONTRAMARCO. FORNECIMENTO E INSTALAÇÃO. AF_12/2019</v>
          </cell>
          <cell r="E84" t="str">
            <v>m²</v>
          </cell>
          <cell r="F84">
            <v>3.2</v>
          </cell>
          <cell r="G84">
            <v>1057.71</v>
          </cell>
          <cell r="H84">
            <v>1295.3699999999999</v>
          </cell>
          <cell r="I84">
            <v>4145.18</v>
          </cell>
          <cell r="J84">
            <v>2.9587294789436116E-3</v>
          </cell>
        </row>
        <row r="85">
          <cell r="A85" t="str">
            <v>6.4.4</v>
          </cell>
          <cell r="B85" t="str">
            <v xml:space="preserve"> 94570 </v>
          </cell>
          <cell r="C85" t="str">
            <v>SINAPI</v>
          </cell>
          <cell r="D85" t="str">
            <v>JANELA DE ALUMÍNIO DE CORRER COM 2 FOLHAS PARA VIDROS, COM VIDROS, BATENTE, ACABAMENTO COM ACETATO OU BRILHANTE E FERRAGENS. EXCLUSIVE ALIZAR E CONTRAMARCO. FORNECIMENTO E INSTALAÇÃO. AF_12/2019</v>
          </cell>
          <cell r="E85" t="str">
            <v>m²</v>
          </cell>
          <cell r="F85">
            <v>0.6</v>
          </cell>
          <cell r="G85">
            <v>562.35</v>
          </cell>
          <cell r="H85">
            <v>688.71</v>
          </cell>
          <cell r="I85">
            <v>413.22</v>
          </cell>
          <cell r="J85">
            <v>2.9494646680942182E-4</v>
          </cell>
        </row>
        <row r="86">
          <cell r="A86" t="str">
            <v>6.4.5</v>
          </cell>
          <cell r="B86" t="str">
            <v xml:space="preserve"> 94570 </v>
          </cell>
          <cell r="C86" t="str">
            <v>SINAPI</v>
          </cell>
          <cell r="D86" t="str">
            <v>JANELA DE ALUMÍNIO DE CORRER COM 2 FOLHAS PARA VIDROS, COM VIDROS, BATENTE, ACABAMENTO COM ACETATO OU BRILHANTE E FERRAGENS. EXCLUSIVE ALIZAR E CONTRAMARCO. FORNECIMENTO E INSTALAÇÃO. AF_12/2019</v>
          </cell>
          <cell r="E86" t="str">
            <v>m²</v>
          </cell>
          <cell r="F86">
            <v>6</v>
          </cell>
          <cell r="G86">
            <v>562.35</v>
          </cell>
          <cell r="H86">
            <v>688.71</v>
          </cell>
          <cell r="I86">
            <v>4132.26</v>
          </cell>
          <cell r="J86">
            <v>2.9495074946466809E-3</v>
          </cell>
        </row>
        <row r="87">
          <cell r="A87" t="str">
            <v>6.4.6</v>
          </cell>
          <cell r="B87" t="str">
            <v xml:space="preserve"> 94569 </v>
          </cell>
          <cell r="C87" t="str">
            <v>SINAPI</v>
          </cell>
          <cell r="D87" t="str">
            <v>JANELA DE ALUMÍNIO TIPO MAXIM-AR, COM VIDROS, BATENTE E FERRAGENS. EXCLUSIVE ALIZAR, ACABAMENTO E CONTRAMARCO. FORNECIMENTO E INSTALAÇÃO. AF_12/2019</v>
          </cell>
          <cell r="E87" t="str">
            <v>m²</v>
          </cell>
          <cell r="F87">
            <v>3.3</v>
          </cell>
          <cell r="G87">
            <v>1057.71</v>
          </cell>
          <cell r="H87">
            <v>1295.3699999999999</v>
          </cell>
          <cell r="I87">
            <v>4274.72</v>
          </cell>
          <cell r="J87">
            <v>3.0511920057102069E-3</v>
          </cell>
        </row>
        <row r="88">
          <cell r="A88" t="str">
            <v>6.4.7</v>
          </cell>
          <cell r="B88" t="str">
            <v xml:space="preserve"> 94569 </v>
          </cell>
          <cell r="C88" t="str">
            <v>SINAPI</v>
          </cell>
          <cell r="D88" t="str">
            <v>JANELA DE ALUMÍNIO TIPO MAXIM-AR, COM VIDROS, BATENTE E FERRAGENS. EXCLUSIVE ALIZAR, ACABAMENTO E CONTRAMARCO. FORNECIMENTO E INSTALAÇÃO. AF_12/2019</v>
          </cell>
          <cell r="E88" t="str">
            <v>m²</v>
          </cell>
          <cell r="F88">
            <v>8.8000000000000007</v>
          </cell>
          <cell r="G88">
            <v>1057.71</v>
          </cell>
          <cell r="H88">
            <v>1295.3699999999999</v>
          </cell>
          <cell r="I88">
            <v>11399.25</v>
          </cell>
          <cell r="J88">
            <v>8.1365096359743046E-3</v>
          </cell>
        </row>
        <row r="89">
          <cell r="A89" t="str">
            <v>6.4.8</v>
          </cell>
          <cell r="B89" t="str">
            <v xml:space="preserve"> 94569 </v>
          </cell>
          <cell r="C89" t="str">
            <v>SINAPI</v>
          </cell>
          <cell r="D89" t="str">
            <v>JANELA DE ALUMÍNIO TIPO MAXIM-AR, COM VIDROS, BATENTE E FERRAGENS. EXCLUSIVE ALIZAR, ACABAMENTO E CONTRAMARCO. FORNECIMENTO E INSTALAÇÃO. AF_12/2019</v>
          </cell>
          <cell r="E89" t="str">
            <v>m²</v>
          </cell>
          <cell r="F89">
            <v>67.760000000000005</v>
          </cell>
          <cell r="G89">
            <v>1057.71</v>
          </cell>
          <cell r="H89">
            <v>1295.3699999999999</v>
          </cell>
          <cell r="I89">
            <v>87774.27</v>
          </cell>
          <cell r="J89">
            <v>6.2651156316916493E-2</v>
          </cell>
        </row>
        <row r="90">
          <cell r="A90" t="str">
            <v>6.4.9</v>
          </cell>
          <cell r="B90" t="str">
            <v xml:space="preserve"> C1516 </v>
          </cell>
          <cell r="C90" t="str">
            <v>SEINFRA</v>
          </cell>
          <cell r="D90" t="str">
            <v>JANELA DE ALUMÍNIO, TIPO VENEZIANA</v>
          </cell>
          <cell r="E90" t="str">
            <v>m²</v>
          </cell>
          <cell r="F90">
            <v>6.48</v>
          </cell>
          <cell r="G90">
            <v>395.17</v>
          </cell>
          <cell r="H90">
            <v>483.96</v>
          </cell>
          <cell r="I90">
            <v>3136.06</v>
          </cell>
          <cell r="J90">
            <v>2.2384439685938615E-3</v>
          </cell>
        </row>
        <row r="91">
          <cell r="A91" t="str">
            <v>6.4.10</v>
          </cell>
          <cell r="B91" t="str">
            <v xml:space="preserve"> 100674 </v>
          </cell>
          <cell r="C91" t="str">
            <v>SINAPI</v>
          </cell>
          <cell r="D91" t="str">
            <v>JANELA FIXA DE ALUMÍNIO PARA VIDRO, COM VIDRO, BATENTE E FERRAGENS. EXCLUSIVE ACABAMENTO, ALIZAR E CONTRAMARCO. FORNECIMENTO E INSTALAÇÃO. AF_12/2019</v>
          </cell>
          <cell r="E91" t="str">
            <v>m²</v>
          </cell>
          <cell r="F91">
            <v>1.98</v>
          </cell>
          <cell r="G91">
            <v>1199.05</v>
          </cell>
          <cell r="H91">
            <v>1468.47</v>
          </cell>
          <cell r="I91">
            <v>2907.57</v>
          </cell>
          <cell r="J91">
            <v>2.075353319057816E-3</v>
          </cell>
        </row>
        <row r="92">
          <cell r="A92" t="str">
            <v>6.4.11</v>
          </cell>
          <cell r="B92" t="str">
            <v xml:space="preserve"> 1897 </v>
          </cell>
          <cell r="C92" t="str">
            <v>ORSE</v>
          </cell>
          <cell r="D92" t="str">
            <v>Tela de nylon tipo mosquiteiro com moldura em madeira, para esquadrias - Rev 01</v>
          </cell>
          <cell r="E92" t="str">
            <v>m²</v>
          </cell>
          <cell r="F92">
            <v>4.2</v>
          </cell>
          <cell r="G92">
            <v>46.58</v>
          </cell>
          <cell r="H92">
            <v>57.04</v>
          </cell>
          <cell r="I92">
            <v>239.56</v>
          </cell>
          <cell r="J92">
            <v>1.7099214846538188E-4</v>
          </cell>
        </row>
        <row r="93">
          <cell r="A93" t="str">
            <v xml:space="preserve"> 6.5 </v>
          </cell>
          <cell r="D93" t="str">
            <v>VIDROS</v>
          </cell>
          <cell r="I93">
            <v>2280.14</v>
          </cell>
          <cell r="J93">
            <v>1.6275089221984298E-3</v>
          </cell>
        </row>
        <row r="94">
          <cell r="A94" t="str">
            <v>6.5.1</v>
          </cell>
          <cell r="B94" t="str">
            <v xml:space="preserve"> C4949 </v>
          </cell>
          <cell r="C94" t="str">
            <v>SEINFRA</v>
          </cell>
          <cell r="D94" t="str">
            <v>VIDRO TEMPERADO INCOLOR C/MASSA E=6MM, COLOCADO</v>
          </cell>
          <cell r="E94" t="str">
            <v>m²</v>
          </cell>
          <cell r="F94">
            <v>1.98</v>
          </cell>
          <cell r="G94">
            <v>196.85</v>
          </cell>
          <cell r="H94">
            <v>241.08</v>
          </cell>
          <cell r="I94">
            <v>477.33</v>
          </cell>
          <cell r="J94">
            <v>3.4070663811563171E-4</v>
          </cell>
        </row>
        <row r="95">
          <cell r="A95" t="str">
            <v>6.5.2</v>
          </cell>
          <cell r="B95" t="str">
            <v xml:space="preserve"> C4835 </v>
          </cell>
          <cell r="C95" t="str">
            <v>SEINFRA</v>
          </cell>
          <cell r="D95" t="str">
            <v>ESPELHO CRISTAL, ESPESSURA 4MM, COM PARAFUSOS DE FIXAÇÃO, SEM MOLDURA</v>
          </cell>
          <cell r="E95" t="str">
            <v>m²</v>
          </cell>
          <cell r="F95">
            <v>4.4000000000000004</v>
          </cell>
          <cell r="G95">
            <v>334.56</v>
          </cell>
          <cell r="H95">
            <v>409.73</v>
          </cell>
          <cell r="I95">
            <v>1802.81</v>
          </cell>
          <cell r="J95">
            <v>1.286802284082798E-3</v>
          </cell>
        </row>
        <row r="96">
          <cell r="A96" t="str">
            <v xml:space="preserve"> 7 </v>
          </cell>
          <cell r="D96" t="str">
            <v>SISTEMAS DE COBERTURA</v>
          </cell>
          <cell r="I96">
            <v>219581.14</v>
          </cell>
          <cell r="J96">
            <v>0.15673172019985723</v>
          </cell>
        </row>
        <row r="97">
          <cell r="A97" t="str">
            <v>7.1</v>
          </cell>
          <cell r="B97" t="str">
            <v xml:space="preserve"> 92550 </v>
          </cell>
          <cell r="C97" t="str">
            <v>SINAPI</v>
          </cell>
          <cell r="D97" t="str">
            <v>FABRICAÇÃO E INSTALAÇÃO DE TESOURA INTEIRA EM MADEIRA NÃO APARELHADA, VÃO DE 8 M, PARA TELHA CERÂMICA OU DE CONCRETO, INCLUSO IÇAMENTO. AF_07/2019</v>
          </cell>
          <cell r="E97" t="str">
            <v>UN</v>
          </cell>
          <cell r="F97">
            <v>23</v>
          </cell>
          <cell r="G97">
            <v>1418.51</v>
          </cell>
          <cell r="H97">
            <v>1737.24</v>
          </cell>
          <cell r="I97">
            <v>39956.519999999997</v>
          </cell>
          <cell r="J97">
            <v>2.852E-2</v>
          </cell>
        </row>
        <row r="98">
          <cell r="A98" t="str">
            <v>7.2</v>
          </cell>
          <cell r="B98" t="str">
            <v xml:space="preserve"> 92549 </v>
          </cell>
          <cell r="C98" t="str">
            <v>SINAPI</v>
          </cell>
          <cell r="D98" t="str">
            <v>FABRICAÇÃO E INSTALAÇÃO DE TESOURA INTEIRA EM MADEIRA NÃO APARELHADA, VÃO DE 7 M, PARA TELHA CERÂMICA OU DE CONCRETO, INCLUSO IÇAMENTO. AF_07/2019</v>
          </cell>
          <cell r="E98" t="str">
            <v>UN</v>
          </cell>
          <cell r="F98">
            <v>10</v>
          </cell>
          <cell r="G98">
            <v>1151.54</v>
          </cell>
          <cell r="H98">
            <v>1410.29</v>
          </cell>
          <cell r="I98">
            <v>14102.9</v>
          </cell>
          <cell r="J98">
            <v>1.0066309778729479E-2</v>
          </cell>
        </row>
        <row r="99">
          <cell r="A99" t="str">
            <v>7.3</v>
          </cell>
          <cell r="B99" t="str">
            <v xml:space="preserve"> 92548 </v>
          </cell>
          <cell r="C99" t="str">
            <v>SINAPI</v>
          </cell>
          <cell r="D99" t="str">
            <v>FABRICAÇÃO E INSTALAÇÃO DE TESOURA INTEIRA EM MADEIRA NÃO APARELHADA, VÃO DE 6 M, PARA TELHA CERÂMICA OU DE CONCRETO, INCLUSO IÇAMENTO. AF_07/2019</v>
          </cell>
          <cell r="E99" t="str">
            <v>UN</v>
          </cell>
          <cell r="F99">
            <v>6</v>
          </cell>
          <cell r="G99">
            <v>916.15</v>
          </cell>
          <cell r="H99">
            <v>1122</v>
          </cell>
          <cell r="I99">
            <v>6732</v>
          </cell>
          <cell r="J99">
            <v>4.8051391862955033E-3</v>
          </cell>
        </row>
        <row r="100">
          <cell r="A100" t="str">
            <v>7.4</v>
          </cell>
          <cell r="B100" t="str">
            <v xml:space="preserve"> 92584 </v>
          </cell>
          <cell r="C100" t="str">
            <v>SINAPI</v>
          </cell>
          <cell r="D100" t="str">
            <v>FABRICAÇÃO E INSTALAÇÃO DE TESOURA INTEIRA EM AÇO, VÃO DE 4 M, PARA TELHA CERÂMICA OU DE CONCRETO, INCLUSO IÇAMENTO. AF_12/2015</v>
          </cell>
          <cell r="E100" t="str">
            <v>UN</v>
          </cell>
          <cell r="F100">
            <v>6</v>
          </cell>
          <cell r="G100">
            <v>676.62</v>
          </cell>
          <cell r="H100">
            <v>828.65</v>
          </cell>
          <cell r="I100">
            <v>4971.8999999999996</v>
          </cell>
          <cell r="J100">
            <v>3.5488222698072803E-3</v>
          </cell>
        </row>
        <row r="101">
          <cell r="A101" t="str">
            <v>7.5</v>
          </cell>
          <cell r="B101" t="str">
            <v xml:space="preserve"> 92540 </v>
          </cell>
          <cell r="C101" t="str">
            <v>SINAPI</v>
          </cell>
          <cell r="D101" t="str">
            <v>TRAMA DE MADEIRA COMPOSTA POR RIPAS, CAIBROS E TERÇAS PARA TELHADOS DE MAIS QUE 2 ÁGUAS PARA TELHA DE ENCAIXE DE CERÂMICA OU DE CONCRETO, INCLUSO TRANSPORTE VERTICAL. AF_07/2019</v>
          </cell>
          <cell r="E101" t="str">
            <v>m²</v>
          </cell>
          <cell r="F101">
            <v>1189.68</v>
          </cell>
          <cell r="G101">
            <v>52.52</v>
          </cell>
          <cell r="H101">
            <v>64.319999999999993</v>
          </cell>
          <cell r="I101">
            <v>76520.210000000006</v>
          </cell>
          <cell r="J101">
            <v>5.4618279800142756E-2</v>
          </cell>
        </row>
        <row r="102">
          <cell r="A102" t="str">
            <v>7.6</v>
          </cell>
          <cell r="B102" t="str">
            <v xml:space="preserve"> 102213 </v>
          </cell>
          <cell r="C102" t="str">
            <v>SINAPI</v>
          </cell>
          <cell r="D102" t="str">
            <v>PINTURA VERNIZ (INCOLOR) ALQUÍDICO EM MADEIRA, USO INTERNO E EXTERNO, 2 DEMÃOS. AF_01/2021</v>
          </cell>
          <cell r="E102" t="str">
            <v>m²</v>
          </cell>
          <cell r="F102">
            <v>1714.31</v>
          </cell>
          <cell r="G102">
            <v>13.54</v>
          </cell>
          <cell r="H102">
            <v>16.579999999999998</v>
          </cell>
          <cell r="I102">
            <v>28423.25</v>
          </cell>
          <cell r="J102">
            <v>2.0287830121341898E-2</v>
          </cell>
        </row>
        <row r="103">
          <cell r="A103" t="str">
            <v>7.7</v>
          </cell>
          <cell r="B103" t="str">
            <v xml:space="preserve"> 94442 </v>
          </cell>
          <cell r="C103" t="str">
            <v>SINAPI</v>
          </cell>
          <cell r="D103" t="str">
            <v>TELHAMENTO COM TELHA CERÂMICA DE ENCAIXE, TIPO ROMANA, COM ATÉ 2 ÁGUAS, INCLUSO TRANSPORTE VERTICAL. AF_07/2019</v>
          </cell>
          <cell r="E103" t="str">
            <v>m²</v>
          </cell>
          <cell r="F103">
            <v>1889.68</v>
          </cell>
          <cell r="G103">
            <v>19.38</v>
          </cell>
          <cell r="H103">
            <v>23.73</v>
          </cell>
          <cell r="I103">
            <v>44842.1</v>
          </cell>
          <cell r="J103">
            <v>3.2007209136331191E-2</v>
          </cell>
        </row>
        <row r="104">
          <cell r="A104" t="str">
            <v>7.8</v>
          </cell>
          <cell r="B104" t="str">
            <v xml:space="preserve"> 94221 </v>
          </cell>
          <cell r="C104" t="str">
            <v>SINAPI</v>
          </cell>
          <cell r="D104" t="str">
            <v>CUMEEIRA PARA TELHA CERÂMICA EMBOÇADA COM ARGAMASSA TRAÇO 1:2:9 (CIMENTO, CAL E AREIA) PARA TELHADOS COM ATÉ 2 ÁGUAS, INCLUSO TRANSPORTE VERTICAL. AF_07/2019</v>
          </cell>
          <cell r="E104" t="str">
            <v>M</v>
          </cell>
          <cell r="F104">
            <v>213.8</v>
          </cell>
          <cell r="G104">
            <v>15.4</v>
          </cell>
          <cell r="H104">
            <v>18.86</v>
          </cell>
          <cell r="I104">
            <v>4032.26</v>
          </cell>
          <cell r="J104">
            <v>2.8781299072091365E-3</v>
          </cell>
        </row>
        <row r="105">
          <cell r="A105" t="str">
            <v xml:space="preserve"> 8 </v>
          </cell>
          <cell r="D105" t="str">
            <v>IMPERMEABILIZAÇÃO</v>
          </cell>
          <cell r="I105">
            <v>7332.25</v>
          </cell>
          <cell r="J105">
            <v>5.2335831548893643E-3</v>
          </cell>
        </row>
        <row r="106">
          <cell r="A106" t="str">
            <v>8.1</v>
          </cell>
          <cell r="B106" t="str">
            <v xml:space="preserve"> C2472 </v>
          </cell>
          <cell r="C106" t="str">
            <v>SEINFRA</v>
          </cell>
          <cell r="D106" t="str">
            <v>TINTA DE BASE ASFÁLTICA 2 DEMÃOS C/BROXA</v>
          </cell>
          <cell r="E106" t="str">
            <v>m²</v>
          </cell>
          <cell r="F106">
            <v>463.48</v>
          </cell>
          <cell r="G106">
            <v>12.92</v>
          </cell>
          <cell r="H106">
            <v>15.82</v>
          </cell>
          <cell r="I106">
            <v>7332.25</v>
          </cell>
          <cell r="J106">
            <v>5.2335831548893643E-3</v>
          </cell>
        </row>
        <row r="107">
          <cell r="A107" t="str">
            <v xml:space="preserve"> 9 </v>
          </cell>
          <cell r="D107" t="str">
            <v>REVESTIMENTOS INTERNOS E EXTERNOS</v>
          </cell>
          <cell r="I107">
            <v>154110.93</v>
          </cell>
          <cell r="J107">
            <v>0.11000066381156316</v>
          </cell>
        </row>
        <row r="108">
          <cell r="A108" t="str">
            <v>9.1</v>
          </cell>
          <cell r="B108" t="str">
            <v xml:space="preserve"> 87878 </v>
          </cell>
          <cell r="C108" t="str">
            <v>SINAPI</v>
          </cell>
          <cell r="D108" t="str">
            <v>CHAPISCO APLICADO EM ALVENARIAS E ESTRUTURAS DE CONCRETO INTERNAS, COM COLHER DE PEDREIRO.  ARGAMASSA TRAÇO 1:3 COM PREPARO MANUAL. AF_10/2022</v>
          </cell>
          <cell r="E108" t="str">
            <v>m²</v>
          </cell>
          <cell r="F108">
            <v>1969.41</v>
          </cell>
          <cell r="G108">
            <v>3.25</v>
          </cell>
          <cell r="H108">
            <v>3.98</v>
          </cell>
          <cell r="I108">
            <v>7838.25</v>
          </cell>
          <cell r="J108">
            <v>5.5947537473233404E-3</v>
          </cell>
        </row>
        <row r="109">
          <cell r="A109" t="str">
            <v>9.2</v>
          </cell>
          <cell r="B109" t="str">
            <v xml:space="preserve"> 87881 </v>
          </cell>
          <cell r="C109" t="str">
            <v>SINAPI</v>
          </cell>
          <cell r="D109" t="str">
            <v>CHAPISCO APLICADO NO TETO OU EM ALVENARIA E ESTRUTURA, COM ROLO PARA TEXTURA ACRÍLICA. ARGAMASSA TRAÇO 1:4 E EMULSÃO POLIMÉRICA (ADESIVO) COM PREPARO MANUAL. AF_10/2022</v>
          </cell>
          <cell r="E109" t="str">
            <v>m²</v>
          </cell>
          <cell r="F109">
            <v>579.57000000000005</v>
          </cell>
          <cell r="G109">
            <v>5.34</v>
          </cell>
          <cell r="H109">
            <v>6.53</v>
          </cell>
          <cell r="I109">
            <v>3784.59</v>
          </cell>
          <cell r="J109">
            <v>2.7013490364025698E-3</v>
          </cell>
        </row>
        <row r="110">
          <cell r="A110" t="str">
            <v>9.3</v>
          </cell>
          <cell r="B110" t="str">
            <v xml:space="preserve"> 87535 </v>
          </cell>
          <cell r="C110" t="str">
            <v>SINAPI</v>
          </cell>
          <cell r="D110" t="str">
            <v>EMBOÇO, PARA RECEBIMENTO DE CERÂMICA, EM ARGAMASSA TRAÇO 1:2:8, PREPARO MECÂNICO COM BETONEIRA 400L, APLICADO MANUALMENTE EM FACES INTERNAS DE PAREDES, PARA AMBIENTE COM ÁREA  MAIOR QUE 10M2, ESPESSURA DE 20MM, COM EXECUÇÃO DE TALISCAS. AF_06/2014</v>
          </cell>
          <cell r="E110" t="str">
            <v>m²</v>
          </cell>
          <cell r="F110">
            <v>1969.41</v>
          </cell>
          <cell r="G110">
            <v>21.09</v>
          </cell>
          <cell r="H110">
            <v>25.82</v>
          </cell>
          <cell r="I110">
            <v>50850.16</v>
          </cell>
          <cell r="J110">
            <v>3.6295617416131333E-2</v>
          </cell>
        </row>
        <row r="111">
          <cell r="A111" t="str">
            <v>9.4</v>
          </cell>
          <cell r="B111" t="str">
            <v xml:space="preserve"> 87543 </v>
          </cell>
          <cell r="C111" t="str">
            <v>SINAPI</v>
          </cell>
          <cell r="D111" t="str">
            <v>MASSA ÚNICA, PARA RECEBIMENTO DE PINTURA OU CERÂMICA, ARGAMASSA INDUSTRIALIZADA, PREPARO MECÂNICO, APLICADO COM EQUIPAMENTO DE MISTURA E PROJEÇÃO DE 1,5 M3/H EM FACES INTERNAS DE PAREDES, ESPESSURA DE 5MM, SEM EXECUÇÃO DE TALISCAS. AF_06/2014</v>
          </cell>
          <cell r="E111" t="str">
            <v>m²</v>
          </cell>
          <cell r="F111">
            <v>1307.77</v>
          </cell>
          <cell r="G111">
            <v>18.010000000000002</v>
          </cell>
          <cell r="H111">
            <v>22.05</v>
          </cell>
          <cell r="I111">
            <v>28836.32</v>
          </cell>
          <cell r="J111">
            <v>2.0582669521770163E-2</v>
          </cell>
        </row>
        <row r="112">
          <cell r="A112" t="str">
            <v>9.5</v>
          </cell>
          <cell r="B112" t="str">
            <v xml:space="preserve"> 87543 </v>
          </cell>
          <cell r="C112" t="str">
            <v>SINAPI</v>
          </cell>
          <cell r="D112" t="str">
            <v>MASSA ÚNICA, PARA RECEBIMENTO DE PINTURA OU CERÂMICA, ARGAMASSA INDUSTRIALIZADA, PREPARO MECÂNICO, APLICADO COM EQUIPAMENTO DE MISTURA E PROJEÇÃO DE 1,5 M3/H EM FACES INTERNAS DE PAREDES, ESPESSURA DE 5MM, SEM EXECUÇÃO DE TALISCAS. AF_06/2014</v>
          </cell>
          <cell r="E112" t="str">
            <v>m²</v>
          </cell>
          <cell r="F112">
            <v>579.57000000000005</v>
          </cell>
          <cell r="G112">
            <v>18.010000000000002</v>
          </cell>
          <cell r="H112">
            <v>22.05</v>
          </cell>
          <cell r="I112">
            <v>12779.51</v>
          </cell>
          <cell r="J112">
            <v>9.1217059243397566E-3</v>
          </cell>
        </row>
        <row r="113">
          <cell r="A113" t="str">
            <v>9.6</v>
          </cell>
          <cell r="B113" t="str">
            <v xml:space="preserve"> 87273 </v>
          </cell>
          <cell r="C113" t="str">
            <v>SINAPI</v>
          </cell>
          <cell r="D113" t="str">
            <v>REVESTIMENTO CERÂMICO PARA PAREDES INTERNAS COM PLACAS TIPO ESMALTADA EXTRA  DE DIMENSÕES 33X45 CM APLICADAS NA ALTURA INTEIRA DAS PAREDES. AF_02/2023_PE</v>
          </cell>
          <cell r="E113" t="str">
            <v>m²</v>
          </cell>
          <cell r="F113">
            <v>439.53</v>
          </cell>
          <cell r="G113">
            <v>52.46</v>
          </cell>
          <cell r="H113">
            <v>64.239999999999995</v>
          </cell>
          <cell r="I113">
            <v>28235.4</v>
          </cell>
          <cell r="J113">
            <v>2.0153747323340472E-2</v>
          </cell>
        </row>
        <row r="114">
          <cell r="A114" t="str">
            <v>9.7</v>
          </cell>
          <cell r="B114" t="str">
            <v xml:space="preserve"> 87267 </v>
          </cell>
          <cell r="C114" t="str">
            <v>SINAPI</v>
          </cell>
          <cell r="D114" t="str">
            <v>REVESTIMENTO CERÂMICO PARA PAREDES INTERNAS COM PLACAS TIPO ESMALTADA EXTRA DE DIMENSÕES 20X20 CM APLICADAS A MEIA ALTURA DAS PAREDES. AF_02/2023_PE</v>
          </cell>
          <cell r="E114" t="str">
            <v>m²</v>
          </cell>
          <cell r="F114">
            <v>222.12</v>
          </cell>
          <cell r="G114">
            <v>51.11</v>
          </cell>
          <cell r="H114">
            <v>62.59</v>
          </cell>
          <cell r="I114">
            <v>13902.49</v>
          </cell>
          <cell r="J114">
            <v>9.9232619557458965E-3</v>
          </cell>
        </row>
        <row r="115">
          <cell r="A115" t="str">
            <v>9.8</v>
          </cell>
          <cell r="B115" t="str">
            <v xml:space="preserve"> 101739 </v>
          </cell>
          <cell r="C115" t="str">
            <v>SINAPI</v>
          </cell>
          <cell r="D115" t="str">
            <v>RODAPÉ EM MADEIRA, ALTURA 7CM, FIXADO COM COLA E PARAFUSOS. AF_09/2020</v>
          </cell>
          <cell r="E115" t="str">
            <v>M</v>
          </cell>
          <cell r="F115">
            <v>257.14999999999998</v>
          </cell>
          <cell r="G115">
            <v>25.04</v>
          </cell>
          <cell r="H115">
            <v>30.66</v>
          </cell>
          <cell r="I115">
            <v>7884.21</v>
          </cell>
          <cell r="J115">
            <v>5.6275588865096361E-3</v>
          </cell>
        </row>
        <row r="116">
          <cell r="A116" t="str">
            <v xml:space="preserve"> 10 </v>
          </cell>
          <cell r="D116" t="str">
            <v>SISTEMAS DE PISOS</v>
          </cell>
          <cell r="I116">
            <v>127667.35</v>
          </cell>
          <cell r="J116">
            <v>9.1125874375446114E-2</v>
          </cell>
        </row>
        <row r="117">
          <cell r="A117" t="str">
            <v xml:space="preserve"> 10.1 </v>
          </cell>
          <cell r="D117" t="str">
            <v>PAVIMENTAÇÃO INTERNA</v>
          </cell>
          <cell r="I117">
            <v>102170.13</v>
          </cell>
          <cell r="J117">
            <v>7.2926573875802994E-2</v>
          </cell>
        </row>
        <row r="118">
          <cell r="A118" t="str">
            <v>10.1.1</v>
          </cell>
          <cell r="B118" t="str">
            <v xml:space="preserve"> 87630 </v>
          </cell>
          <cell r="C118" t="str">
            <v>SINAPI</v>
          </cell>
          <cell r="D118" t="str">
            <v>CONTRAPISO EM ARGAMASSA TRAÇO 1:4 (CIMENTO E AREIA), PREPARO MECÂNICO COM BETONEIRA 400 L, APLICADO EM ÁREAS SECAS SOBRE LAJE, ADERIDO, ACABAMENTO NÃO REFORÇADO, ESPESSURA 3CM. AF_07/2021</v>
          </cell>
          <cell r="E118" t="str">
            <v>m²</v>
          </cell>
          <cell r="F118">
            <v>814.48</v>
          </cell>
          <cell r="G118">
            <v>27.28</v>
          </cell>
          <cell r="H118">
            <v>33.4</v>
          </cell>
          <cell r="I118">
            <v>27203.63</v>
          </cell>
          <cell r="J118">
            <v>1.9417294789436119E-2</v>
          </cell>
        </row>
        <row r="119">
          <cell r="A119" t="str">
            <v>10.1.2</v>
          </cell>
          <cell r="B119" t="str">
            <v xml:space="preserve"> 98679 </v>
          </cell>
          <cell r="C119" t="str">
            <v>SINAPI</v>
          </cell>
          <cell r="D119" t="str">
            <v>PISO CIMENTADO, TRAÇO 1:3 (CIMENTO E AREIA), ACABAMENTO LISO, ESPESSURA 2,0 CM, PREPARO MECÂNICO DA ARGAMASSA. AF_09/2020</v>
          </cell>
          <cell r="E119" t="str">
            <v>m²</v>
          </cell>
          <cell r="F119">
            <v>814.48</v>
          </cell>
          <cell r="G119">
            <v>24.97</v>
          </cell>
          <cell r="H119">
            <v>30.58</v>
          </cell>
          <cell r="I119">
            <v>24906.79</v>
          </cell>
          <cell r="J119">
            <v>1.7777865810135619E-2</v>
          </cell>
        </row>
        <row r="120">
          <cell r="A120" t="str">
            <v>10.1.3</v>
          </cell>
          <cell r="B120" t="str">
            <v xml:space="preserve"> 87251 </v>
          </cell>
          <cell r="C120" t="str">
            <v>SINAPI</v>
          </cell>
          <cell r="D120" t="str">
            <v>REVESTIMENTO CERÂMICO PARA PISO COM PLACAS TIPO ESMALTADA EXTRA DE DIMENSÕES 45X45 CM APLICADA EM AMBIENTES DE ÁREA MAIOR QUE 10 M2. AF_02/2023_PE</v>
          </cell>
          <cell r="E120" t="str">
            <v>m²</v>
          </cell>
          <cell r="F120">
            <v>65.28</v>
          </cell>
          <cell r="G120">
            <v>41.24</v>
          </cell>
          <cell r="H120">
            <v>50.5</v>
          </cell>
          <cell r="I120">
            <v>3296.64</v>
          </cell>
          <cell r="J120">
            <v>2.3530620985010705E-3</v>
          </cell>
        </row>
        <row r="121">
          <cell r="A121" t="str">
            <v>10.1.4</v>
          </cell>
          <cell r="B121" t="str">
            <v xml:space="preserve"> 87251 </v>
          </cell>
          <cell r="C121" t="str">
            <v>SINAPI</v>
          </cell>
          <cell r="D121" t="str">
            <v>REVESTIMENTO CERÂMICO PARA PISO COM PLACAS TIPO ESMALTADA EXTRA DE DIMENSÕES 45X45 CM APLICADA EM AMBIENTES DE ÁREA MAIOR QUE 10 M2. AF_02/2023_PE</v>
          </cell>
          <cell r="E121" t="str">
            <v>m²</v>
          </cell>
          <cell r="F121">
            <v>749.2</v>
          </cell>
          <cell r="G121">
            <v>41.24</v>
          </cell>
          <cell r="H121">
            <v>50.5</v>
          </cell>
          <cell r="I121">
            <v>37834.6</v>
          </cell>
          <cell r="J121">
            <v>2.7005424696645252E-2</v>
          </cell>
        </row>
        <row r="122">
          <cell r="A122" t="str">
            <v>10.1.5</v>
          </cell>
          <cell r="B122" t="str">
            <v xml:space="preserve"> C4623 </v>
          </cell>
          <cell r="C122" t="str">
            <v>SEINFRA</v>
          </cell>
          <cell r="D122" t="str">
            <v>PISO PODOTÁTIL INTERNO EM BORRACHA 30x30cm ASSENTAMENTO COM COLA VINIL (FORNECIMENTO E ASSENTAMENTO)</v>
          </cell>
          <cell r="E122" t="str">
            <v>m²</v>
          </cell>
          <cell r="F122">
            <v>40.950000000000003</v>
          </cell>
          <cell r="G122">
            <v>138.13999999999999</v>
          </cell>
          <cell r="H122">
            <v>169.18</v>
          </cell>
          <cell r="I122">
            <v>6927.92</v>
          </cell>
          <cell r="J122">
            <v>4.9449821556031403E-3</v>
          </cell>
        </row>
        <row r="123">
          <cell r="A123" t="str">
            <v>10.1.6</v>
          </cell>
          <cell r="B123" t="str">
            <v xml:space="preserve"> C4624 </v>
          </cell>
          <cell r="C123" t="str">
            <v>SEINFRA</v>
          </cell>
          <cell r="D123" t="str">
            <v>PISO PODOTÁTIL EXTERNO EM PMC ESP. 3CM, ASSENTADO COM ARGAMASSA (FORNECIMENTO E ASSENTAMENTO)</v>
          </cell>
          <cell r="E123" t="str">
            <v>m²</v>
          </cell>
          <cell r="F123">
            <v>5.4</v>
          </cell>
          <cell r="G123">
            <v>95.53</v>
          </cell>
          <cell r="H123">
            <v>116.99</v>
          </cell>
          <cell r="I123">
            <v>631.74</v>
          </cell>
          <cell r="J123">
            <v>4.5092077087794432E-4</v>
          </cell>
        </row>
        <row r="124">
          <cell r="A124" t="str">
            <v>10.1.7</v>
          </cell>
          <cell r="B124" t="str">
            <v xml:space="preserve"> C2284 </v>
          </cell>
          <cell r="C124" t="str">
            <v>SEINFRA</v>
          </cell>
          <cell r="D124" t="str">
            <v>SOLEIRA DE GRANITO L= 15cm</v>
          </cell>
          <cell r="E124" t="str">
            <v>M</v>
          </cell>
          <cell r="F124">
            <v>18.5</v>
          </cell>
          <cell r="G124">
            <v>60.42</v>
          </cell>
          <cell r="H124">
            <v>73.989999999999995</v>
          </cell>
          <cell r="I124">
            <v>1368.81</v>
          </cell>
          <cell r="J124">
            <v>9.7702355460385442E-4</v>
          </cell>
        </row>
        <row r="125">
          <cell r="A125" t="str">
            <v xml:space="preserve"> 10.2 </v>
          </cell>
          <cell r="D125" t="str">
            <v>PAVIMENTAÇÃO EXTERNA</v>
          </cell>
          <cell r="I125">
            <v>25497.22</v>
          </cell>
          <cell r="J125">
            <v>1.8199300499643113E-2</v>
          </cell>
        </row>
        <row r="126">
          <cell r="A126" t="str">
            <v>10.2.1</v>
          </cell>
          <cell r="B126" t="str">
            <v xml:space="preserve"> 94990 </v>
          </cell>
          <cell r="C126" t="str">
            <v>SINAPI</v>
          </cell>
          <cell r="D126" t="str">
            <v>EXECUÇÃO DE PASSEIO (CALÇADA) OU PISO DE CONCRETO COM CONCRETO MOLDADO IN LOCO, FEITO EM OBRA, ACABAMENTO CONVENCIONAL, NÃO ARMADO. AF_08/2022</v>
          </cell>
          <cell r="E126" t="str">
            <v>m³</v>
          </cell>
          <cell r="F126">
            <v>25.08</v>
          </cell>
          <cell r="G126">
            <v>536.34</v>
          </cell>
          <cell r="H126">
            <v>656.85</v>
          </cell>
          <cell r="I126">
            <v>16473.79</v>
          </cell>
          <cell r="J126">
            <v>1.1758593861527481E-2</v>
          </cell>
        </row>
        <row r="127">
          <cell r="A127" t="str">
            <v>10.2.2</v>
          </cell>
          <cell r="B127" t="str">
            <v xml:space="preserve"> 94963 </v>
          </cell>
          <cell r="C127" t="str">
            <v>SINAPI</v>
          </cell>
          <cell r="D127" t="str">
            <v>CONCRETO FCK = 15MPA, TRAÇO 1:3,4:3,5 (EM MASSA SECA DE CIMENTO/ AREIA MÉDIA/ BRITA 1) - PREPARO MECÂNICO COM BETONEIRA 400 L. AF_05/2021</v>
          </cell>
          <cell r="E127" t="str">
            <v>m³</v>
          </cell>
          <cell r="F127">
            <v>11.98</v>
          </cell>
          <cell r="G127">
            <v>304.58</v>
          </cell>
          <cell r="H127">
            <v>373.01</v>
          </cell>
          <cell r="I127">
            <v>4468.6499999999996</v>
          </cell>
          <cell r="J127">
            <v>3.1896145610278374E-3</v>
          </cell>
        </row>
        <row r="128">
          <cell r="A128" t="str">
            <v>10.2.3</v>
          </cell>
          <cell r="B128" t="str">
            <v xml:space="preserve"> 94263 </v>
          </cell>
          <cell r="C128" t="str">
            <v>SINAPI</v>
          </cell>
          <cell r="D128" t="str">
            <v>GUIA (MEIO-FIO) CONCRETO, MOLDADA  IN LOCO  EM TRECHO RETO COM EXTRUSORA, 13 CM BASE X 22 CM ALTURA. AF_06/2016</v>
          </cell>
          <cell r="E128" t="str">
            <v>M</v>
          </cell>
          <cell r="F128">
            <v>27.3</v>
          </cell>
          <cell r="G128">
            <v>22.9</v>
          </cell>
          <cell r="H128">
            <v>28.04</v>
          </cell>
          <cell r="I128">
            <v>765.49</v>
          </cell>
          <cell r="J128">
            <v>5.4638829407566028E-4</v>
          </cell>
        </row>
        <row r="129">
          <cell r="A129" t="str">
            <v>10.2.4</v>
          </cell>
          <cell r="B129" t="str">
            <v xml:space="preserve"> 94968 </v>
          </cell>
          <cell r="C129" t="str">
            <v>SINAPI</v>
          </cell>
          <cell r="D129" t="str">
            <v>CONCRETO MAGRO PARA LASTRO, TRAÇO 1:4,5:4,5 (EM MASSA SECA DE CIMENTO/ AREIA MÉDIA/ BRITA 1) - PREPARO MECÂNICO COM BETONEIRA 600 L. AF_05/2021</v>
          </cell>
          <cell r="E129" t="str">
            <v>m³</v>
          </cell>
          <cell r="F129">
            <v>11.28</v>
          </cell>
          <cell r="G129">
            <v>274.3</v>
          </cell>
          <cell r="H129">
            <v>335.93</v>
          </cell>
          <cell r="I129">
            <v>3789.29</v>
          </cell>
          <cell r="J129">
            <v>2.704703783012134E-3</v>
          </cell>
        </row>
        <row r="130">
          <cell r="A130" t="str">
            <v xml:space="preserve"> 11 </v>
          </cell>
          <cell r="D130" t="str">
            <v>PINTURAS E ACABAMENTOS</v>
          </cell>
          <cell r="I130">
            <v>45376</v>
          </cell>
          <cell r="J130">
            <v>3.238829407566024E-2</v>
          </cell>
        </row>
        <row r="131">
          <cell r="A131" t="str">
            <v>11.1</v>
          </cell>
          <cell r="B131" t="str">
            <v xml:space="preserve"> 96123 </v>
          </cell>
          <cell r="C131" t="str">
            <v>SINAPI</v>
          </cell>
          <cell r="D131" t="str">
            <v>ACABAMENTOS PARA FORRO (MOLDURA EM DRYWALL, COM LARGURA DE 15 CM). AF_05/2017_PS</v>
          </cell>
          <cell r="E131" t="str">
            <v>M</v>
          </cell>
          <cell r="F131">
            <v>432.55</v>
          </cell>
          <cell r="G131">
            <v>21.6</v>
          </cell>
          <cell r="H131">
            <v>26.45</v>
          </cell>
          <cell r="I131">
            <v>11440.94</v>
          </cell>
          <cell r="J131">
            <v>8.1662669521770162E-3</v>
          </cell>
        </row>
        <row r="132">
          <cell r="A132" t="str">
            <v>11.2</v>
          </cell>
          <cell r="B132" t="str">
            <v xml:space="preserve"> 96123 </v>
          </cell>
          <cell r="C132" t="str">
            <v>SINAPI</v>
          </cell>
          <cell r="D132" t="str">
            <v>ACABAMENTOS PARA FORRO (MOLDURA EM DRYWALL, COM LARGURA DE 15 CM). AF_05/2017_PS</v>
          </cell>
          <cell r="E132" t="str">
            <v>M</v>
          </cell>
          <cell r="F132">
            <v>579.57000000000005</v>
          </cell>
          <cell r="G132">
            <v>21.6</v>
          </cell>
          <cell r="H132">
            <v>26.45</v>
          </cell>
          <cell r="I132">
            <v>15329.62</v>
          </cell>
          <cell r="J132">
            <v>1.0941912919343327E-2</v>
          </cell>
        </row>
        <row r="133">
          <cell r="A133" t="str">
            <v>11.3</v>
          </cell>
          <cell r="B133" t="str">
            <v xml:space="preserve"> 88489 </v>
          </cell>
          <cell r="C133" t="str">
            <v>SINAPI</v>
          </cell>
          <cell r="D133" t="str">
            <v>PINTURA LÁTEX ACRÍLICA PREMIUM, APLICAÇÃO MANUAL EM PAREDES, DUAS DEMÃOS. AF_04/2023</v>
          </cell>
          <cell r="E133" t="str">
            <v>m²</v>
          </cell>
          <cell r="F133">
            <v>1307.77</v>
          </cell>
          <cell r="G133">
            <v>6.94</v>
          </cell>
          <cell r="H133">
            <v>8.49</v>
          </cell>
          <cell r="I133">
            <v>11102.96</v>
          </cell>
          <cell r="J133">
            <v>7.9250249821556026E-3</v>
          </cell>
        </row>
        <row r="134">
          <cell r="A134" t="str">
            <v>11.4</v>
          </cell>
          <cell r="B134" t="str">
            <v xml:space="preserve"> 88488 </v>
          </cell>
          <cell r="C134" t="str">
            <v>SINAPI</v>
          </cell>
          <cell r="D134" t="str">
            <v>PINTURA LÁTEX ACRÍLICA PREMIUM, APLICAÇÃO MANUAL EM TETO, DUAS DEMÃOS. AF_04/2023</v>
          </cell>
          <cell r="E134" t="str">
            <v>m²</v>
          </cell>
          <cell r="F134">
            <v>569.57000000000005</v>
          </cell>
          <cell r="G134">
            <v>8.4700000000000006</v>
          </cell>
          <cell r="H134">
            <v>10.37</v>
          </cell>
          <cell r="I134">
            <v>5906.44</v>
          </cell>
          <cell r="J134">
            <v>4.2158743754461096E-3</v>
          </cell>
        </row>
        <row r="135">
          <cell r="A135" t="str">
            <v>11.5</v>
          </cell>
          <cell r="B135" t="str">
            <v xml:space="preserve"> 102219 </v>
          </cell>
          <cell r="C135" t="str">
            <v>SINAPI</v>
          </cell>
          <cell r="D135" t="str">
            <v>PINTURA TINTA DE ACABAMENTO (PIGMENTADA) ESMALTE SINTÉTICO ACETINADO EM MADEIRA, 2 DEMÃOS. AF_01/2021</v>
          </cell>
          <cell r="E135" t="str">
            <v>m²</v>
          </cell>
          <cell r="F135">
            <v>25.72</v>
          </cell>
          <cell r="G135">
            <v>10.81</v>
          </cell>
          <cell r="H135">
            <v>13.23</v>
          </cell>
          <cell r="I135">
            <v>340.27</v>
          </cell>
          <cell r="J135">
            <v>2.4287651677373304E-4</v>
          </cell>
        </row>
        <row r="136">
          <cell r="A136" t="str">
            <v>11.6</v>
          </cell>
          <cell r="B136" t="str">
            <v xml:space="preserve"> 100742 </v>
          </cell>
          <cell r="C136" t="str">
            <v>SINAPI</v>
          </cell>
          <cell r="D136" t="str">
            <v>PINTURA COM TINTA ALQUÍDICA DE ACABAMENTO (ESMALTE SINTÉTICO ACETINADO) APLICADA A ROLO OU PINCEL SOBRE SUPERFÍCIES METÁLICAS (EXCETO PERFIL) EXECUTADO EM OBRA (POR DEMÃO). AF_01/2020</v>
          </cell>
          <cell r="E136" t="str">
            <v>m²</v>
          </cell>
          <cell r="F136">
            <v>21.6</v>
          </cell>
          <cell r="G136">
            <v>16.190000000000001</v>
          </cell>
          <cell r="H136">
            <v>19.82</v>
          </cell>
          <cell r="I136">
            <v>428.11</v>
          </cell>
          <cell r="J136">
            <v>3.0557458957887224E-4</v>
          </cell>
        </row>
        <row r="137">
          <cell r="A137" t="str">
            <v>11.7</v>
          </cell>
          <cell r="B137" t="str">
            <v xml:space="preserve"> 102219 </v>
          </cell>
          <cell r="C137" t="str">
            <v>SINAPI</v>
          </cell>
          <cell r="D137" t="str">
            <v>PINTURA TINTA DE ACABAMENTO (PIGMENTADA) ESMALTE SINTÉTICO ACETINADO EM MADEIRA, 2 DEMÃOS. AF_01/2021</v>
          </cell>
          <cell r="E137" t="str">
            <v>m²</v>
          </cell>
          <cell r="F137">
            <v>62.56</v>
          </cell>
          <cell r="G137">
            <v>10.81</v>
          </cell>
          <cell r="H137">
            <v>13.23</v>
          </cell>
          <cell r="I137">
            <v>827.66</v>
          </cell>
          <cell r="J137">
            <v>5.9076374018558178E-4</v>
          </cell>
        </row>
        <row r="138">
          <cell r="A138" t="str">
            <v xml:space="preserve"> 12 </v>
          </cell>
          <cell r="D138" t="str">
            <v>INSTALAÇÕES HIDRÁULICAS</v>
          </cell>
          <cell r="I138">
            <v>33522.230000000003</v>
          </cell>
          <cell r="J138">
            <v>2.3927359029264812E-2</v>
          </cell>
        </row>
        <row r="139">
          <cell r="A139" t="str">
            <v>12.1</v>
          </cell>
          <cell r="B139" t="str">
            <v xml:space="preserve"> 89401 </v>
          </cell>
          <cell r="C139" t="str">
            <v>SINAPI</v>
          </cell>
          <cell r="D139" t="str">
            <v>TUBO, PVC, SOLDÁVEL, DN 20MM, INSTALADO EM RAMAL DE DISTRIBUIÇÃO DE ÁGUA - FORNECIMENTO E INSTALAÇÃO. AF_06/2022</v>
          </cell>
          <cell r="E139" t="str">
            <v>M</v>
          </cell>
          <cell r="F139">
            <v>23</v>
          </cell>
          <cell r="G139">
            <v>7.6</v>
          </cell>
          <cell r="H139">
            <v>9.3000000000000007</v>
          </cell>
          <cell r="I139">
            <v>213.9</v>
          </cell>
          <cell r="J139">
            <v>1.5267665952890791E-4</v>
          </cell>
        </row>
        <row r="140">
          <cell r="A140" t="str">
            <v>12.2</v>
          </cell>
          <cell r="B140" t="str">
            <v xml:space="preserve"> 89446 </v>
          </cell>
          <cell r="C140" t="str">
            <v>SINAPI</v>
          </cell>
          <cell r="D140" t="str">
            <v>TUBO, PVC, SOLDÁVEL, DN 25MM, INSTALADO EM PRUMADA DE ÁGUA - FORNECIMENTO E INSTALAÇÃO. AF_06/2022</v>
          </cell>
          <cell r="E140" t="str">
            <v>M</v>
          </cell>
          <cell r="F140">
            <v>8</v>
          </cell>
          <cell r="G140">
            <v>4.22</v>
          </cell>
          <cell r="H140">
            <v>5.16</v>
          </cell>
          <cell r="I140">
            <v>41.28</v>
          </cell>
          <cell r="J140">
            <v>2.9464668094218414E-5</v>
          </cell>
        </row>
        <row r="141">
          <cell r="A141" t="str">
            <v>12.3</v>
          </cell>
          <cell r="B141" t="str">
            <v xml:space="preserve"> 89447 </v>
          </cell>
          <cell r="C141" t="str">
            <v>SINAPI</v>
          </cell>
          <cell r="D141" t="str">
            <v>TUBO, PVC, SOLDÁVEL, DN 32MM, INSTALADO EM PRUMADA DE ÁGUA - FORNECIMENTO E INSTALAÇÃO. AF_06/2022</v>
          </cell>
          <cell r="E141" t="str">
            <v>M</v>
          </cell>
          <cell r="F141">
            <v>3</v>
          </cell>
          <cell r="G141">
            <v>8.52</v>
          </cell>
          <cell r="H141">
            <v>10.43</v>
          </cell>
          <cell r="I141">
            <v>31.29</v>
          </cell>
          <cell r="J141">
            <v>2.2334047109207709E-5</v>
          </cell>
        </row>
        <row r="142">
          <cell r="A142" t="str">
            <v>12.4</v>
          </cell>
          <cell r="B142" t="str">
            <v xml:space="preserve"> 89448 </v>
          </cell>
          <cell r="C142" t="str">
            <v>SINAPI</v>
          </cell>
          <cell r="D142" t="str">
            <v>TUBO, PVC, SOLDÁVEL, DN 40MM, INSTALADO EM PRUMADA DE ÁGUA - FORNECIMENTO E INSTALAÇÃO. AF_06/2022</v>
          </cell>
          <cell r="E142" t="str">
            <v>M</v>
          </cell>
          <cell r="F142">
            <v>11</v>
          </cell>
          <cell r="G142">
            <v>13.12</v>
          </cell>
          <cell r="H142">
            <v>16.059999999999999</v>
          </cell>
          <cell r="I142">
            <v>176.66</v>
          </cell>
          <cell r="J142">
            <v>1.2609564596716632E-4</v>
          </cell>
        </row>
        <row r="143">
          <cell r="A143" t="str">
            <v>12.5</v>
          </cell>
          <cell r="B143" t="str">
            <v xml:space="preserve"> 89449 </v>
          </cell>
          <cell r="C143" t="str">
            <v>SINAPI</v>
          </cell>
          <cell r="D143" t="str">
            <v>TUBO, PVC, SOLDÁVEL, DN 50MM, INSTALADO EM PRUMADA DE ÁGUA - FORNECIMENTO E INSTALAÇÃO. AF_06/2022</v>
          </cell>
          <cell r="E143" t="str">
            <v>M</v>
          </cell>
          <cell r="F143">
            <v>4</v>
          </cell>
          <cell r="G143">
            <v>14.5</v>
          </cell>
          <cell r="H143">
            <v>17.75</v>
          </cell>
          <cell r="I143">
            <v>71</v>
          </cell>
          <cell r="J143">
            <v>5.0678087080656676E-5</v>
          </cell>
        </row>
        <row r="144">
          <cell r="A144" t="str">
            <v>12.6</v>
          </cell>
          <cell r="B144" t="str">
            <v xml:space="preserve"> 89450 </v>
          </cell>
          <cell r="C144" t="str">
            <v>SINAPI</v>
          </cell>
          <cell r="D144" t="str">
            <v>TUBO, PVC, SOLDÁVEL, DN 60MM, INSTALADO EM PRUMADA DE ÁGUA - FORNECIMENTO E INSTALAÇÃO. AF_06/2022</v>
          </cell>
          <cell r="E144" t="str">
            <v>M</v>
          </cell>
          <cell r="F144">
            <v>69</v>
          </cell>
          <cell r="G144">
            <v>23.35</v>
          </cell>
          <cell r="H144">
            <v>28.59</v>
          </cell>
          <cell r="I144">
            <v>1972.71</v>
          </cell>
          <cell r="J144">
            <v>1.4080728051391862E-3</v>
          </cell>
        </row>
        <row r="145">
          <cell r="A145" t="str">
            <v>12.7</v>
          </cell>
          <cell r="B145" t="str">
            <v xml:space="preserve"> 89404 </v>
          </cell>
          <cell r="C145" t="str">
            <v>SINAPI</v>
          </cell>
          <cell r="D145" t="str">
            <v>JOELHO 90 GRAUS, PVC, SOLDÁVEL, DN 20MM, INSTALADO EM RAMAL DE DISTRIBUIÇÃO DE ÁGUA - FORNECIMENTO E INSTALAÇÃO. AF_06/2022</v>
          </cell>
          <cell r="E145" t="str">
            <v>UN</v>
          </cell>
          <cell r="F145">
            <v>14</v>
          </cell>
          <cell r="G145">
            <v>4.68</v>
          </cell>
          <cell r="H145">
            <v>5.73</v>
          </cell>
          <cell r="I145">
            <v>80.22</v>
          </cell>
          <cell r="J145">
            <v>5.7259100642398287E-5</v>
          </cell>
        </row>
        <row r="146">
          <cell r="A146" t="str">
            <v>12.8</v>
          </cell>
          <cell r="B146" t="str">
            <v xml:space="preserve"> 89481 </v>
          </cell>
          <cell r="C146" t="str">
            <v>SINAPI</v>
          </cell>
          <cell r="D146" t="str">
            <v>JOELHO 90 GRAUS, PVC, SOLDÁVEL, DN 25MM, INSTALADO EM PRUMADA DE ÁGUA - FORNECIMENTO E INSTALAÇÃO. AF_06/2022</v>
          </cell>
          <cell r="E146" t="str">
            <v>UN</v>
          </cell>
          <cell r="F146">
            <v>15</v>
          </cell>
          <cell r="G146">
            <v>3.46</v>
          </cell>
          <cell r="H146">
            <v>4.2300000000000004</v>
          </cell>
          <cell r="I146">
            <v>63.45</v>
          </cell>
          <cell r="J146">
            <v>4.5289079229122055E-5</v>
          </cell>
        </row>
        <row r="147">
          <cell r="A147" t="str">
            <v>12.9</v>
          </cell>
          <cell r="B147" t="str">
            <v xml:space="preserve"> 89492 </v>
          </cell>
          <cell r="C147" t="str">
            <v>SINAPI</v>
          </cell>
          <cell r="D147" t="str">
            <v>JOELHO 90 GRAUS, PVC, SOLDÁVEL, DN 32MM, INSTALADO EM PRUMADA DE ÁGUA - FORNECIMENTO E INSTALAÇÃO. AF_06/2022</v>
          </cell>
          <cell r="E147" t="str">
            <v>UN</v>
          </cell>
          <cell r="F147">
            <v>42</v>
          </cell>
          <cell r="G147">
            <v>5.57</v>
          </cell>
          <cell r="H147">
            <v>6.82</v>
          </cell>
          <cell r="I147">
            <v>286.44</v>
          </cell>
          <cell r="J147">
            <v>2.0445396145610278E-4</v>
          </cell>
        </row>
        <row r="148">
          <cell r="A148" t="str">
            <v>12.10</v>
          </cell>
          <cell r="B148" t="str">
            <v xml:space="preserve"> 89497 </v>
          </cell>
          <cell r="C148" t="str">
            <v>SINAPI</v>
          </cell>
          <cell r="D148" t="str">
            <v>JOELHO 90 GRAUS, PVC, SOLDÁVEL, DN 40MM, INSTALADO EM PRUMADA DE ÁGUA - FORNECIMENTO E INSTALAÇÃO. AF_06/2022</v>
          </cell>
          <cell r="E148" t="str">
            <v>UN</v>
          </cell>
          <cell r="F148">
            <v>8</v>
          </cell>
          <cell r="G148">
            <v>9.2799999999999994</v>
          </cell>
          <cell r="H148">
            <v>11.36</v>
          </cell>
          <cell r="I148">
            <v>90.88</v>
          </cell>
          <cell r="J148">
            <v>6.4867951463240539E-5</v>
          </cell>
        </row>
        <row r="149">
          <cell r="A149" t="str">
            <v>12.11</v>
          </cell>
          <cell r="B149" t="str">
            <v xml:space="preserve"> 89505 </v>
          </cell>
          <cell r="C149" t="str">
            <v>SINAPI</v>
          </cell>
          <cell r="D149" t="str">
            <v>JOELHO 90 GRAUS, PVC, SOLDÁVEL, DN 60MM, INSTALADO EM PRUMADA DE ÁGUA - FORNECIMENTO E INSTALAÇÃO. AF_06/2022</v>
          </cell>
          <cell r="E149" t="str">
            <v>UN</v>
          </cell>
          <cell r="F149">
            <v>2</v>
          </cell>
          <cell r="G149">
            <v>30.87</v>
          </cell>
          <cell r="H149">
            <v>37.799999999999997</v>
          </cell>
          <cell r="I149">
            <v>75.599999999999994</v>
          </cell>
          <cell r="J149">
            <v>5.3961456102783729E-5</v>
          </cell>
        </row>
        <row r="150">
          <cell r="A150" t="str">
            <v>12.12</v>
          </cell>
          <cell r="B150" t="str">
            <v xml:space="preserve"> 89397 </v>
          </cell>
          <cell r="C150" t="str">
            <v>SINAPI</v>
          </cell>
          <cell r="D150" t="str">
            <v>TÊ DE REDUÇÃO, PVC, SOLDÁVEL, DN 25MM X 20MM, INSTALADO EM RAMAL OU SUB-RAMAL DE ÁGUA - FORNECIMENTO E INSTALAÇÃO. AF_06/2022</v>
          </cell>
          <cell r="E150" t="str">
            <v>UN</v>
          </cell>
          <cell r="F150">
            <v>2</v>
          </cell>
          <cell r="G150">
            <v>10.039999999999999</v>
          </cell>
          <cell r="H150">
            <v>12.29</v>
          </cell>
          <cell r="I150">
            <v>24.58</v>
          </cell>
          <cell r="J150">
            <v>1.7544610992148467E-5</v>
          </cell>
        </row>
        <row r="151">
          <cell r="A151" t="str">
            <v>12.13</v>
          </cell>
          <cell r="B151" t="str">
            <v xml:space="preserve"> 89622 </v>
          </cell>
          <cell r="C151" t="str">
            <v>SINAPI</v>
          </cell>
          <cell r="D151" t="str">
            <v>TÊ DE REDUÇÃO, PVC, SOLDÁVEL, DN 32MM X 25MM, INSTALADO EM PRUMADA DE ÁGUA - FORNECIMENTO E INSTALAÇÃO. AF_06/2022</v>
          </cell>
          <cell r="E151" t="str">
            <v>UN</v>
          </cell>
          <cell r="F151">
            <v>1</v>
          </cell>
          <cell r="G151">
            <v>9.9600000000000009</v>
          </cell>
          <cell r="H151">
            <v>12.19</v>
          </cell>
          <cell r="I151">
            <v>12.19</v>
          </cell>
          <cell r="J151">
            <v>8.7009279086366884E-6</v>
          </cell>
        </row>
        <row r="152">
          <cell r="A152" t="str">
            <v>12.14</v>
          </cell>
          <cell r="B152" t="str">
            <v xml:space="preserve"> 89626 </v>
          </cell>
          <cell r="C152" t="str">
            <v>SINAPI</v>
          </cell>
          <cell r="D152" t="str">
            <v>TÊ DE REDUÇÃO, PVC, SOLDÁVEL, DN 50MM X 40MM, INSTALADO EM PRUMADA DE ÁGUA - FORNECIMENTO E INSTALAÇÃO. AF_06/2022</v>
          </cell>
          <cell r="E152" t="str">
            <v>UN</v>
          </cell>
          <cell r="F152">
            <v>2</v>
          </cell>
          <cell r="G152">
            <v>21.88</v>
          </cell>
          <cell r="H152">
            <v>26.79</v>
          </cell>
          <cell r="I152">
            <v>53.58</v>
          </cell>
          <cell r="J152">
            <v>3.8244111349036405E-5</v>
          </cell>
        </row>
        <row r="153">
          <cell r="A153" t="str">
            <v>12.15</v>
          </cell>
          <cell r="B153" t="str">
            <v xml:space="preserve"> 89627 </v>
          </cell>
          <cell r="C153" t="str">
            <v>SINAPI</v>
          </cell>
          <cell r="D153" t="str">
            <v>TÊ DE REDUÇÃO, PVC, SOLDÁVEL, DN 50MM X 25MM, INSTALADO EM PRUMADA DE ÁGUA - FORNECIMENTO E INSTALAÇÃO. AF_06/2022</v>
          </cell>
          <cell r="E153" t="str">
            <v>UN</v>
          </cell>
          <cell r="F153">
            <v>5</v>
          </cell>
          <cell r="G153">
            <v>14.28</v>
          </cell>
          <cell r="H153">
            <v>17.48</v>
          </cell>
          <cell r="I153">
            <v>87.4</v>
          </cell>
          <cell r="J153">
            <v>6.238401142041399E-5</v>
          </cell>
        </row>
        <row r="154">
          <cell r="A154" t="str">
            <v>12.16</v>
          </cell>
          <cell r="B154" t="str">
            <v xml:space="preserve"> 89630 </v>
          </cell>
          <cell r="C154" t="str">
            <v>SINAPI</v>
          </cell>
          <cell r="D154" t="str">
            <v>TE DE REDUÇÃO, PVC, SOLDÁVEL, DN 75MM X 50MM, INSTALADO EM PRUMADA DE ÁGUA - FORNECIMENTO E INSTALAÇÃO. AF_06/2022</v>
          </cell>
          <cell r="E154" t="str">
            <v>UN</v>
          </cell>
          <cell r="F154">
            <v>2</v>
          </cell>
          <cell r="G154">
            <v>45.44</v>
          </cell>
          <cell r="H154">
            <v>55.65</v>
          </cell>
          <cell r="I154">
            <v>111.3</v>
          </cell>
          <cell r="J154">
            <v>7.944325481798715E-5</v>
          </cell>
        </row>
        <row r="155">
          <cell r="A155" t="str">
            <v>12.17</v>
          </cell>
          <cell r="B155" t="str">
            <v xml:space="preserve"> 89438 </v>
          </cell>
          <cell r="C155" t="str">
            <v>SINAPI</v>
          </cell>
          <cell r="D155" t="str">
            <v>TE, PVC, SOLDÁVEL, DN 20MM, INSTALADO EM RAMAL DE DISTRIBUIÇÃO DE ÁGUA - FORNECIMENTO E INSTALAÇÃO. AF_06/2022</v>
          </cell>
          <cell r="E155" t="str">
            <v>UN</v>
          </cell>
          <cell r="F155">
            <v>6</v>
          </cell>
          <cell r="G155">
            <v>6.56</v>
          </cell>
          <cell r="H155">
            <v>8.0299999999999994</v>
          </cell>
          <cell r="I155">
            <v>48.18</v>
          </cell>
          <cell r="J155">
            <v>3.4389721627408991E-5</v>
          </cell>
        </row>
        <row r="156">
          <cell r="A156" t="str">
            <v>12.18</v>
          </cell>
          <cell r="B156" t="str">
            <v xml:space="preserve"> 89617 </v>
          </cell>
          <cell r="C156" t="str">
            <v>SINAPI</v>
          </cell>
          <cell r="D156" t="str">
            <v>TE, PVC, SOLDÁVEL, DN 25MM, INSTALADO EM PRUMADA DE ÁGUA - FORNECIMENTO E INSTALAÇÃO. AF_06/2022</v>
          </cell>
          <cell r="E156" t="str">
            <v>UN</v>
          </cell>
          <cell r="F156">
            <v>4</v>
          </cell>
          <cell r="G156">
            <v>4.92</v>
          </cell>
          <cell r="H156">
            <v>6.02</v>
          </cell>
          <cell r="I156">
            <v>24.08</v>
          </cell>
          <cell r="J156">
            <v>1.7187723054960743E-5</v>
          </cell>
        </row>
        <row r="157">
          <cell r="A157" t="str">
            <v>12.19</v>
          </cell>
          <cell r="B157" t="str">
            <v xml:space="preserve"> 89623 </v>
          </cell>
          <cell r="C157" t="str">
            <v>SINAPI</v>
          </cell>
          <cell r="D157" t="str">
            <v>TE, PVC, SOLDÁVEL, DN 40MM, INSTALADO EM PRUMADA DE ÁGUA - FORNECIMENTO E INSTALAÇÃO. AF_06/2022</v>
          </cell>
          <cell r="E157" t="str">
            <v>UN</v>
          </cell>
          <cell r="F157">
            <v>1</v>
          </cell>
          <cell r="G157">
            <v>13.69</v>
          </cell>
          <cell r="H157">
            <v>16.760000000000002</v>
          </cell>
          <cell r="I157">
            <v>16.760000000000002</v>
          </cell>
          <cell r="J157">
            <v>1.1962883654532478E-5</v>
          </cell>
        </row>
        <row r="158">
          <cell r="A158" t="str">
            <v>12.20</v>
          </cell>
          <cell r="B158" t="str">
            <v xml:space="preserve"> 89628 </v>
          </cell>
          <cell r="C158" t="str">
            <v>SINAPI</v>
          </cell>
          <cell r="D158" t="str">
            <v>TE, PVC, SOLDÁVEL, DN 60MM, INSTALADO EM PRUMADA DE ÁGUA - FORNECIMENTO E INSTALAÇÃO. AF_06/2022</v>
          </cell>
          <cell r="E158" t="str">
            <v>UN</v>
          </cell>
          <cell r="F158">
            <v>8</v>
          </cell>
          <cell r="G158">
            <v>35.18</v>
          </cell>
          <cell r="H158">
            <v>43.08</v>
          </cell>
          <cell r="I158">
            <v>344.64</v>
          </cell>
          <cell r="J158">
            <v>2.4599571734475374E-4</v>
          </cell>
        </row>
        <row r="159">
          <cell r="A159" t="str">
            <v>12.21</v>
          </cell>
          <cell r="B159" t="str">
            <v xml:space="preserve"> 94495 </v>
          </cell>
          <cell r="C159" t="str">
            <v>SINAPI</v>
          </cell>
          <cell r="D159" t="str">
            <v>REGISTRO DE GAVETA BRUTO, LATÃO, ROSCÁVEL, 1" - FORNECIMENTO E INSTALAÇÃO. AF_08/2021</v>
          </cell>
          <cell r="E159" t="str">
            <v>UN</v>
          </cell>
          <cell r="F159">
            <v>4</v>
          </cell>
          <cell r="G159">
            <v>50.42</v>
          </cell>
          <cell r="H159">
            <v>61.74</v>
          </cell>
          <cell r="I159">
            <v>246.96</v>
          </cell>
          <cell r="J159">
            <v>1.7627408993576017E-4</v>
          </cell>
        </row>
        <row r="160">
          <cell r="A160" t="str">
            <v>12.22</v>
          </cell>
          <cell r="B160" t="str">
            <v xml:space="preserve"> 94496 </v>
          </cell>
          <cell r="C160" t="str">
            <v>SINAPI</v>
          </cell>
          <cell r="D160" t="str">
            <v>REGISTRO DE GAVETA BRUTO, LATÃO, ROSCÁVEL, 1 1/4" - FORNECIMENTO E INSTALAÇÃO. AF_08/2021</v>
          </cell>
          <cell r="E160" t="str">
            <v>UN</v>
          </cell>
          <cell r="F160">
            <v>2</v>
          </cell>
          <cell r="G160">
            <v>68.72</v>
          </cell>
          <cell r="H160">
            <v>84.16</v>
          </cell>
          <cell r="I160">
            <v>168.32</v>
          </cell>
          <cell r="J160">
            <v>1.2014275517487508E-4</v>
          </cell>
        </row>
        <row r="161">
          <cell r="A161" t="str">
            <v>12.23</v>
          </cell>
          <cell r="B161" t="str">
            <v xml:space="preserve"> 94497 </v>
          </cell>
          <cell r="C161" t="str">
            <v>SINAPI</v>
          </cell>
          <cell r="D161" t="str">
            <v>REGISTRO DE GAVETA BRUTO, LATÃO, ROSCÁVEL, 1 1/2" - FORNECIMENTO E INSTALAÇÃO. AF_08/2021</v>
          </cell>
          <cell r="E161" t="str">
            <v>UN</v>
          </cell>
          <cell r="F161">
            <v>1</v>
          </cell>
          <cell r="G161">
            <v>87.01</v>
          </cell>
          <cell r="H161">
            <v>106.56</v>
          </cell>
          <cell r="I161">
            <v>106.56</v>
          </cell>
          <cell r="J161">
            <v>7.6059957173447542E-5</v>
          </cell>
        </row>
        <row r="162">
          <cell r="A162" t="str">
            <v>12.24</v>
          </cell>
          <cell r="B162" t="str">
            <v xml:space="preserve"> 94498 </v>
          </cell>
          <cell r="C162" t="str">
            <v>SINAPI</v>
          </cell>
          <cell r="D162" t="str">
            <v>REGISTRO DE GAVETA BRUTO, LATÃO, ROSCÁVEL, 2" - FORNECIMENTO E INSTALAÇÃO. AF_08/2021</v>
          </cell>
          <cell r="E162" t="str">
            <v>UN</v>
          </cell>
          <cell r="F162">
            <v>1</v>
          </cell>
          <cell r="G162">
            <v>120.31</v>
          </cell>
          <cell r="H162">
            <v>147.34</v>
          </cell>
          <cell r="I162">
            <v>147.34</v>
          </cell>
          <cell r="J162">
            <v>1.0516773733047823E-4</v>
          </cell>
        </row>
        <row r="163">
          <cell r="A163" t="str">
            <v>12.25</v>
          </cell>
          <cell r="B163" t="str">
            <v xml:space="preserve"> 94499 </v>
          </cell>
          <cell r="C163" t="str">
            <v>SINAPI</v>
          </cell>
          <cell r="D163" t="str">
            <v>REGISTRO DE GAVETA BRUTO, LATÃO, ROSCÁVEL, 2 1/2" - FORNECIMENTO E INSTALAÇÃO. AF_08/2021</v>
          </cell>
          <cell r="E163" t="str">
            <v>UN</v>
          </cell>
          <cell r="F163">
            <v>2</v>
          </cell>
          <cell r="G163">
            <v>241.42</v>
          </cell>
          <cell r="H163">
            <v>295.66000000000003</v>
          </cell>
          <cell r="I163">
            <v>591.32000000000005</v>
          </cell>
          <cell r="J163">
            <v>4.220699500356888E-4</v>
          </cell>
        </row>
        <row r="164">
          <cell r="A164" t="str">
            <v>12.26</v>
          </cell>
          <cell r="B164" t="str">
            <v xml:space="preserve"> 89985 </v>
          </cell>
          <cell r="C164" t="str">
            <v>SINAPI</v>
          </cell>
          <cell r="D164" t="str">
            <v>REGISTRO DE PRESSÃO BRUTO, LATÃO, ROSCÁVEL, 3/4", COM ACABAMENTO E CANOPLA CROMADOS - FORNECIMENTO E INSTALAÇÃO. AF_08/2021</v>
          </cell>
          <cell r="E164" t="str">
            <v>UN</v>
          </cell>
          <cell r="F164">
            <v>1</v>
          </cell>
          <cell r="G164">
            <v>73.61</v>
          </cell>
          <cell r="H164">
            <v>90.15</v>
          </cell>
          <cell r="I164">
            <v>90.15</v>
          </cell>
          <cell r="J164">
            <v>6.4346895074946463E-5</v>
          </cell>
        </row>
        <row r="165">
          <cell r="A165" t="str">
            <v>12.27</v>
          </cell>
          <cell r="B165" t="str">
            <v xml:space="preserve"> COTAÇÃO </v>
          </cell>
          <cell r="C165" t="str">
            <v>Próprio</v>
          </cell>
          <cell r="D165" t="str">
            <v>CAIXA  DE ÁGUA METÁLICA COMPLETA 15.000 LITROS, PREÇO UNITÁRIO CONFORME MÉDIAS DAS COTAÇÕES</v>
          </cell>
          <cell r="E165" t="str">
            <v>UN</v>
          </cell>
          <cell r="F165">
            <v>1</v>
          </cell>
          <cell r="G165">
            <v>23144.81</v>
          </cell>
          <cell r="H165">
            <v>28345.439999999999</v>
          </cell>
          <cell r="I165">
            <v>28345.439999999999</v>
          </cell>
          <cell r="J165">
            <v>2.0232291220556746E-2</v>
          </cell>
        </row>
        <row r="166">
          <cell r="A166" t="str">
            <v xml:space="preserve"> 13 </v>
          </cell>
          <cell r="D166" t="str">
            <v>INSTALAÇÕES SANITÁRIAS</v>
          </cell>
          <cell r="I166">
            <v>32744.34</v>
          </cell>
          <cell r="J166">
            <v>2.3372119914346894E-2</v>
          </cell>
        </row>
        <row r="167">
          <cell r="A167" t="str">
            <v>13.1</v>
          </cell>
          <cell r="B167" t="str">
            <v xml:space="preserve"> 89711 </v>
          </cell>
          <cell r="C167" t="str">
            <v>SINAPI</v>
          </cell>
          <cell r="D167" t="str">
            <v>TUBO PVC, SERIE NORMAL, ESGOTO PREDIAL, DN 40 MM, FORNECIDO E INSTALADO EM RAMAL DE DESCARGA OU RAMAL DE ESGOTO SANITÁRIO. AF_08/2022</v>
          </cell>
          <cell r="E167" t="str">
            <v>M</v>
          </cell>
          <cell r="F167">
            <v>28</v>
          </cell>
          <cell r="G167">
            <v>14.67</v>
          </cell>
          <cell r="H167">
            <v>17.96</v>
          </cell>
          <cell r="I167">
            <v>502.88</v>
          </cell>
          <cell r="J167">
            <v>3.5894361170592433E-4</v>
          </cell>
        </row>
        <row r="168">
          <cell r="A168" t="str">
            <v>13.2</v>
          </cell>
          <cell r="B168" t="str">
            <v xml:space="preserve"> 89712 </v>
          </cell>
          <cell r="C168" t="str">
            <v>SINAPI</v>
          </cell>
          <cell r="D168" t="str">
            <v>TUBO PVC, SERIE NORMAL, ESGOTO PREDIAL, DN 50 MM, FORNECIDO E INSTALADO EM RAMAL DE DESCARGA OU RAMAL DE ESGOTO SANITÁRIO. AF_08/2022</v>
          </cell>
          <cell r="E168" t="str">
            <v>M</v>
          </cell>
          <cell r="F168">
            <v>25</v>
          </cell>
          <cell r="G168">
            <v>18.93</v>
          </cell>
          <cell r="H168">
            <v>23.18</v>
          </cell>
          <cell r="I168">
            <v>579.5</v>
          </cell>
          <cell r="J168">
            <v>4.1363311920057102E-4</v>
          </cell>
        </row>
        <row r="169">
          <cell r="A169" t="str">
            <v>13.3</v>
          </cell>
          <cell r="B169" t="str">
            <v xml:space="preserve"> 89848 </v>
          </cell>
          <cell r="C169" t="str">
            <v>SINAPI</v>
          </cell>
          <cell r="D169" t="str">
            <v>TUBO PVC, SERIE NORMAL, ESGOTO PREDIAL, DN 100 MM, FORNECIDO E INSTALADO EM SUBCOLETOR AÉREO DE ESGOTO SANITÁRIO. AF_08/2022</v>
          </cell>
          <cell r="E169" t="str">
            <v>M</v>
          </cell>
          <cell r="F169">
            <v>77</v>
          </cell>
          <cell r="G169">
            <v>19.78</v>
          </cell>
          <cell r="H169">
            <v>24.22</v>
          </cell>
          <cell r="I169">
            <v>1864.94</v>
          </cell>
          <cell r="J169">
            <v>1.3311491791577444E-3</v>
          </cell>
        </row>
        <row r="170">
          <cell r="A170" t="str">
            <v>13.4</v>
          </cell>
          <cell r="B170" t="str">
            <v xml:space="preserve"> 89849 </v>
          </cell>
          <cell r="C170" t="str">
            <v>SINAPI</v>
          </cell>
          <cell r="D170" t="str">
            <v>TUBO PVC, SERIE NORMAL, ESGOTO PREDIAL, DN 150 MM, FORNECIDO E INSTALADO EM SUBCOLETOR AÉREO DE ESGOTO SANITÁRIO. AF_08/2022</v>
          </cell>
          <cell r="E170" t="str">
            <v>M</v>
          </cell>
          <cell r="F170">
            <v>2</v>
          </cell>
          <cell r="G170">
            <v>41.63</v>
          </cell>
          <cell r="H170">
            <v>50.98</v>
          </cell>
          <cell r="I170">
            <v>101.96</v>
          </cell>
          <cell r="J170">
            <v>7.2776588151320489E-5</v>
          </cell>
        </row>
        <row r="171">
          <cell r="A171" t="str">
            <v>13.5</v>
          </cell>
          <cell r="B171" t="str">
            <v xml:space="preserve"> 89726 </v>
          </cell>
          <cell r="C171" t="str">
            <v>SINAPI</v>
          </cell>
          <cell r="D171" t="str">
            <v>JOELHO 45 GRAUS, PVC, SERIE NORMAL, ESGOTO PREDIAL, DN 40 MM, JUNTA SOLDÁVEL, FORNECIDO E INSTALADO EM RAMAL DE DESCARGA OU RAMAL DE ESGOTO SANITÁRIO. AF_08/2022</v>
          </cell>
          <cell r="E171" t="str">
            <v>UN</v>
          </cell>
          <cell r="F171">
            <v>4</v>
          </cell>
          <cell r="G171">
            <v>6.87</v>
          </cell>
          <cell r="H171">
            <v>8.41</v>
          </cell>
          <cell r="I171">
            <v>33.64</v>
          </cell>
          <cell r="J171">
            <v>2.4011420413990006E-5</v>
          </cell>
        </row>
        <row r="172">
          <cell r="A172" t="str">
            <v>13.6</v>
          </cell>
          <cell r="B172" t="str">
            <v xml:space="preserve"> 89724 </v>
          </cell>
          <cell r="C172" t="str">
            <v>SINAPI</v>
          </cell>
          <cell r="D172" t="str">
            <v>JOELHO 90 GRAUS, PVC, SERIE NORMAL, ESGOTO PREDIAL, DN 40 MM, JUNTA SOLDÁVEL, FORNECIDO E INSTALADO EM RAMAL DE DESCARGA OU RAMAL DE ESGOTO SANITÁRIO. AF_08/2022</v>
          </cell>
          <cell r="E172" t="str">
            <v>UN</v>
          </cell>
          <cell r="F172">
            <v>20</v>
          </cell>
          <cell r="G172">
            <v>6.69</v>
          </cell>
          <cell r="H172">
            <v>8.19</v>
          </cell>
          <cell r="I172">
            <v>163.80000000000001</v>
          </cell>
          <cell r="J172">
            <v>1.1691648822269807E-4</v>
          </cell>
        </row>
        <row r="173">
          <cell r="A173" t="str">
            <v>13.7</v>
          </cell>
          <cell r="B173" t="str">
            <v xml:space="preserve"> 89809 </v>
          </cell>
          <cell r="C173" t="str">
            <v>SINAPI</v>
          </cell>
          <cell r="D173" t="str">
            <v>JOELHO 90 GRAUS, PVC, SERIE NORMAL, ESGOTO PREDIAL, DN 100 MM, JUNTA ELÁSTICA, FORNECIDO E INSTALADO EM PRUMADA DE ESGOTO SANITÁRIO OU VENTILAÇÃO. AF_08/2022</v>
          </cell>
          <cell r="E173" t="str">
            <v>UN</v>
          </cell>
          <cell r="F173">
            <v>8</v>
          </cell>
          <cell r="G173">
            <v>20.100000000000001</v>
          </cell>
          <cell r="H173">
            <v>24.61</v>
          </cell>
          <cell r="I173">
            <v>196.88</v>
          </cell>
          <cell r="J173">
            <v>1.4052819414703784E-4</v>
          </cell>
        </row>
        <row r="174">
          <cell r="A174" t="str">
            <v>13.8</v>
          </cell>
          <cell r="B174" t="str">
            <v xml:space="preserve"> 89783 </v>
          </cell>
          <cell r="C174" t="str">
            <v>SINAPI</v>
          </cell>
          <cell r="D174" t="str">
            <v>JUNÇÃO SIMPLES, PVC, SERIE NORMAL, ESGOTO PREDIAL, DN 40 MM, JUNTA SOLDÁVEL, FORNECIDO E INSTALADO EM RAMAL DE DESCARGA OU RAMAL DE ESGOTO SANITÁRIO. AF_08/2022</v>
          </cell>
          <cell r="E174" t="str">
            <v>UN</v>
          </cell>
          <cell r="F174">
            <v>9</v>
          </cell>
          <cell r="G174">
            <v>9.84</v>
          </cell>
          <cell r="H174">
            <v>12.05</v>
          </cell>
          <cell r="I174">
            <v>108.45</v>
          </cell>
          <cell r="J174">
            <v>7.740899357601713E-5</v>
          </cell>
        </row>
        <row r="175">
          <cell r="A175" t="str">
            <v>13.9</v>
          </cell>
          <cell r="B175" t="str">
            <v xml:space="preserve"> 89834 </v>
          </cell>
          <cell r="C175" t="str">
            <v>SINAPI</v>
          </cell>
          <cell r="D175" t="str">
            <v>JUNÇÃO SIMPLES, PVC, SERIE NORMAL, ESGOTO PREDIAL, DN 100 X 100 MM, JUNTA ELÁSTICA, FORNECIDO E INSTALADO EM PRUMADA DE ESGOTO SANITÁRIO OU VENTILAÇÃO. AF_08/2022</v>
          </cell>
          <cell r="E175" t="str">
            <v>UN</v>
          </cell>
          <cell r="F175">
            <v>5</v>
          </cell>
          <cell r="G175">
            <v>37.93</v>
          </cell>
          <cell r="H175">
            <v>46.45</v>
          </cell>
          <cell r="I175">
            <v>232.25</v>
          </cell>
          <cell r="J175">
            <v>1.6577444682369736E-4</v>
          </cell>
        </row>
        <row r="176">
          <cell r="A176" t="str">
            <v>13.10</v>
          </cell>
          <cell r="B176" t="str">
            <v xml:space="preserve"> 89834 </v>
          </cell>
          <cell r="C176" t="str">
            <v>SINAPI</v>
          </cell>
          <cell r="D176" t="str">
            <v>JUNÇÃO SIMPLES, PVC, SERIE NORMAL, ESGOTO PREDIAL, DN 100 X 100 MM, JUNTA ELÁSTICA, FORNECIDO E INSTALADO EM PRUMADA DE ESGOTO SANITÁRIO OU VENTILAÇÃO. AF_08/2022</v>
          </cell>
          <cell r="E176" t="str">
            <v>UN</v>
          </cell>
          <cell r="F176">
            <v>3</v>
          </cell>
          <cell r="G176">
            <v>37.93</v>
          </cell>
          <cell r="H176">
            <v>46.45</v>
          </cell>
          <cell r="I176">
            <v>139.35</v>
          </cell>
          <cell r="J176">
            <v>9.9464668094218411E-5</v>
          </cell>
        </row>
        <row r="177">
          <cell r="A177" t="str">
            <v>13.11</v>
          </cell>
          <cell r="B177" t="str">
            <v xml:space="preserve"> 89707 </v>
          </cell>
          <cell r="C177" t="str">
            <v>SINAPI</v>
          </cell>
          <cell r="D177" t="str">
            <v>CAIXA SIFONADA, PVC, DN 100 X 100 X 50 MM, JUNTA ELÁSTICA, FORNECIDA E INSTALADA EM RAMAL DE DESCARGA OU EM RAMAL DE ESGOTO SANITÁRIO. AF_08/2022</v>
          </cell>
          <cell r="E177" t="str">
            <v>UN</v>
          </cell>
          <cell r="F177">
            <v>4</v>
          </cell>
          <cell r="G177">
            <v>29.8</v>
          </cell>
          <cell r="H177">
            <v>36.49</v>
          </cell>
          <cell r="I177">
            <v>145.96</v>
          </cell>
          <cell r="J177">
            <v>1.0418272662384012E-4</v>
          </cell>
        </row>
        <row r="178">
          <cell r="A178" t="str">
            <v>13.12</v>
          </cell>
          <cell r="B178" t="str">
            <v xml:space="preserve"> 89709 </v>
          </cell>
          <cell r="C178" t="str">
            <v>SINAPI</v>
          </cell>
          <cell r="D178" t="str">
            <v>RALO SIFONADO, PVC, DN 100 X 40 MM, JUNTA SOLDÁVEL, FORNECIDO E INSTALADO EM RAMAL DE DESCARGA OU EM RAMAL DE ESGOTO SANITÁRIO. AF_08/2022</v>
          </cell>
          <cell r="E178" t="str">
            <v>UN</v>
          </cell>
          <cell r="F178">
            <v>4</v>
          </cell>
          <cell r="G178">
            <v>12.87</v>
          </cell>
          <cell r="H178">
            <v>15.76</v>
          </cell>
          <cell r="I178">
            <v>63.04</v>
          </cell>
          <cell r="J178">
            <v>4.4996431120628123E-5</v>
          </cell>
        </row>
        <row r="179">
          <cell r="A179" t="str">
            <v>13.13</v>
          </cell>
          <cell r="B179" t="str">
            <v xml:space="preserve"> C3738 </v>
          </cell>
          <cell r="C179" t="str">
            <v>SEINFRA</v>
          </cell>
          <cell r="D179" t="str">
            <v>INSTALAÇÃO DE TUBO DE VENTILAÇÃO 50mm C/ L=4m, C/ REBOCO E PINTURA A CAL (C/ MATERIAL)</v>
          </cell>
          <cell r="E179" t="str">
            <v>UN</v>
          </cell>
          <cell r="F179">
            <v>4</v>
          </cell>
          <cell r="G179">
            <v>41.98</v>
          </cell>
          <cell r="H179">
            <v>51.41</v>
          </cell>
          <cell r="I179">
            <v>205.64</v>
          </cell>
          <cell r="J179">
            <v>1.4678087080656675E-4</v>
          </cell>
        </row>
        <row r="180">
          <cell r="A180" t="str">
            <v>13.14</v>
          </cell>
          <cell r="B180" t="str">
            <v xml:space="preserve"> C0604 </v>
          </cell>
          <cell r="C180" t="str">
            <v>SEINFRA</v>
          </cell>
          <cell r="D180" t="str">
            <v>CAIXA DE INSPEÇÃO EM ALVENARIA - 1 TIJOLO COMUM</v>
          </cell>
          <cell r="E180" t="str">
            <v>m²</v>
          </cell>
          <cell r="F180">
            <v>10</v>
          </cell>
          <cell r="G180">
            <v>214.05</v>
          </cell>
          <cell r="H180">
            <v>262.14</v>
          </cell>
          <cell r="I180">
            <v>2621.4</v>
          </cell>
          <cell r="J180">
            <v>1.8710920770877945E-3</v>
          </cell>
        </row>
        <row r="181">
          <cell r="A181" t="str">
            <v>13.15</v>
          </cell>
          <cell r="B181" t="str">
            <v xml:space="preserve"> 98110 </v>
          </cell>
          <cell r="C181" t="str">
            <v>SINAPI</v>
          </cell>
          <cell r="D181" t="str">
            <v>CAIXA DE GORDURA PEQUENA (CAPACIDADE: 19 L), CIRCULAR, EM PVC, DIÂMETRO INTERNO= 0,3 M. AF_12/2020</v>
          </cell>
          <cell r="E181" t="str">
            <v>UN</v>
          </cell>
          <cell r="F181">
            <v>1</v>
          </cell>
          <cell r="G181">
            <v>233.14</v>
          </cell>
          <cell r="H181">
            <v>285.52</v>
          </cell>
          <cell r="I181">
            <v>285.52</v>
          </cell>
          <cell r="J181">
            <v>2.0379728765167738E-4</v>
          </cell>
        </row>
        <row r="182">
          <cell r="A182" t="str">
            <v>13.16</v>
          </cell>
          <cell r="B182" t="str">
            <v xml:space="preserve"> 98099 </v>
          </cell>
          <cell r="C182" t="str">
            <v>SINAPI</v>
          </cell>
          <cell r="D182" t="str">
            <v>SUMIDOURO RETANGULAR, EM ALVENARIA COM BLOCOS DE CONCRETO, DIMENSÕES INTERNAS: 1,0 X 3,0 X H=3,0 M, ÁREA DE INFILTRAÇÃO: 25 M² (PARA 10 CONTRIBUINTES). AF_12/2020</v>
          </cell>
          <cell r="E182" t="str">
            <v>UN</v>
          </cell>
          <cell r="F182">
            <v>4</v>
          </cell>
          <cell r="G182">
            <v>3049.41</v>
          </cell>
          <cell r="H182">
            <v>3734.61</v>
          </cell>
          <cell r="I182">
            <v>14938.44</v>
          </cell>
          <cell r="J182">
            <v>1.0662698072805139E-2</v>
          </cell>
        </row>
        <row r="183">
          <cell r="A183" t="str">
            <v>13.17</v>
          </cell>
          <cell r="B183" t="str">
            <v xml:space="preserve"> 98087 </v>
          </cell>
          <cell r="C183" t="str">
            <v>SINAPI</v>
          </cell>
          <cell r="D183" t="str">
            <v>TANQUE SÉPTICO RETANGULAR, EM ALVENARIA COM BLOCOS DE CONCRETO, DIMENSÕES INTERNAS: 1,6 X 4,6 X H=2,4 M, VOLUME ÚTIL: 14720 L (PARA 105 CONTRIBUINTES). AF_12/2020</v>
          </cell>
          <cell r="E183" t="str">
            <v>UN</v>
          </cell>
          <cell r="F183">
            <v>1</v>
          </cell>
          <cell r="G183">
            <v>7447.71</v>
          </cell>
          <cell r="H183">
            <v>9121.2099999999991</v>
          </cell>
          <cell r="I183">
            <v>9121.2099999999991</v>
          </cell>
          <cell r="J183">
            <v>6.5104996431120631E-3</v>
          </cell>
        </row>
        <row r="184">
          <cell r="A184" t="str">
            <v>13.18</v>
          </cell>
          <cell r="B184" t="str">
            <v xml:space="preserve"> C4026 </v>
          </cell>
          <cell r="C184" t="str">
            <v>SEINFRA</v>
          </cell>
          <cell r="D184" t="str">
            <v>CANALETA DE CONCRETO 20cm x 20cm C/ TAMPA EM CHAPA DE ALUMÍNIO CORRUGADO</v>
          </cell>
          <cell r="E184" t="str">
            <v>M</v>
          </cell>
          <cell r="F184">
            <v>8.42</v>
          </cell>
          <cell r="G184">
            <v>139.6</v>
          </cell>
          <cell r="H184">
            <v>170.96</v>
          </cell>
          <cell r="I184">
            <v>1439.48</v>
          </cell>
          <cell r="J184">
            <v>1.0274660956459672E-3</v>
          </cell>
        </row>
        <row r="185">
          <cell r="A185" t="str">
            <v xml:space="preserve"> 14 </v>
          </cell>
          <cell r="D185" t="str">
            <v>LOUÇAS, ACESSÓRIOS E METAIS</v>
          </cell>
          <cell r="I185">
            <v>15256.04</v>
          </cell>
          <cell r="J185">
            <v>1.0889393290506781E-2</v>
          </cell>
        </row>
        <row r="186">
          <cell r="A186" t="str">
            <v>14.1</v>
          </cell>
          <cell r="B186" t="str">
            <v xml:space="preserve"> C1151 </v>
          </cell>
          <cell r="C186" t="str">
            <v>SEINFRA</v>
          </cell>
          <cell r="D186" t="str">
            <v>DUCHA P/ WC CROMADO (INSTALADO)</v>
          </cell>
          <cell r="E186" t="str">
            <v>UN</v>
          </cell>
          <cell r="F186">
            <v>2</v>
          </cell>
          <cell r="G186">
            <v>54.87</v>
          </cell>
          <cell r="H186">
            <v>67.19</v>
          </cell>
          <cell r="I186">
            <v>134.38</v>
          </cell>
          <cell r="J186">
            <v>9.5917201998572447E-5</v>
          </cell>
        </row>
        <row r="187">
          <cell r="A187" t="str">
            <v>14.2</v>
          </cell>
          <cell r="B187" t="str">
            <v xml:space="preserve"> 95470 </v>
          </cell>
          <cell r="C187" t="str">
            <v>SINAPI</v>
          </cell>
          <cell r="D187" t="str">
            <v>VASO SANITARIO SIFONADO CONVENCIONAL COM LOUÇA BRANCA, INCLUSO CONJUNTO DE LIGAÇÃO PARA BACIA SANITÁRIA AJUSTÁVEL - FORNECIMENTO E INSTALAÇÃO. AF_10/2016</v>
          </cell>
          <cell r="E187" t="str">
            <v>UN</v>
          </cell>
          <cell r="F187">
            <v>5</v>
          </cell>
          <cell r="G187">
            <v>224.68</v>
          </cell>
          <cell r="H187">
            <v>275.16000000000003</v>
          </cell>
          <cell r="I187">
            <v>1375.8</v>
          </cell>
          <cell r="J187">
            <v>9.8201284796573885E-4</v>
          </cell>
        </row>
        <row r="188">
          <cell r="A188" t="str">
            <v>14.3</v>
          </cell>
          <cell r="B188" t="str">
            <v xml:space="preserve"> 99635 </v>
          </cell>
          <cell r="C188" t="str">
            <v>SINAPI</v>
          </cell>
          <cell r="D188" t="str">
            <v>VÁLVULA DE DESCARGA METÁLICA, BASE 1 1/2", ACABAMENTO METALICO CROMADO - FORNECIMENTO E INSTALAÇÃO. AF_08/2021</v>
          </cell>
          <cell r="E188" t="str">
            <v>UN</v>
          </cell>
          <cell r="F188">
            <v>5</v>
          </cell>
          <cell r="G188">
            <v>228.37</v>
          </cell>
          <cell r="H188">
            <v>279.68</v>
          </cell>
          <cell r="I188">
            <v>1398.4</v>
          </cell>
          <cell r="J188">
            <v>9.9814418272662383E-4</v>
          </cell>
        </row>
        <row r="189">
          <cell r="A189" t="str">
            <v>14.4</v>
          </cell>
          <cell r="B189" t="str">
            <v xml:space="preserve"> 86931 </v>
          </cell>
          <cell r="C189" t="str">
            <v>SINAPI</v>
          </cell>
          <cell r="D189" t="str">
            <v>VASO SANITÁRIO SIFONADO COM CAIXA ACOPLADA LOUÇA BRANCA, INCLUSO ENGATE FLEXÍVEL EM PLÁSTICO BRANCO, 1/2  X 40CM - FORNECIMENTO E INSTALAÇÃO. AF_01/2020</v>
          </cell>
          <cell r="E189" t="str">
            <v>UN</v>
          </cell>
          <cell r="F189">
            <v>3</v>
          </cell>
          <cell r="G189">
            <v>369.68</v>
          </cell>
          <cell r="H189">
            <v>452.74</v>
          </cell>
          <cell r="I189">
            <v>1358.22</v>
          </cell>
          <cell r="J189">
            <v>9.6946466809421836E-4</v>
          </cell>
        </row>
        <row r="190">
          <cell r="A190" t="str">
            <v>14.5</v>
          </cell>
          <cell r="B190" t="str">
            <v xml:space="preserve"> 100858 </v>
          </cell>
          <cell r="C190" t="str">
            <v>SINAPI</v>
          </cell>
          <cell r="D190" t="str">
            <v>MICTÓRIO SIFONADO LOUÇA BRANCA  PADRÃO MÉDIO  FORNECIMENTO E INSTALAÇÃO. AF_01/2020</v>
          </cell>
          <cell r="E190" t="str">
            <v>UN</v>
          </cell>
          <cell r="F190">
            <v>1</v>
          </cell>
          <cell r="G190">
            <v>499.07</v>
          </cell>
          <cell r="H190">
            <v>611.21</v>
          </cell>
          <cell r="I190">
            <v>611.21</v>
          </cell>
          <cell r="J190">
            <v>4.3626695217701642E-4</v>
          </cell>
        </row>
        <row r="191">
          <cell r="A191" t="str">
            <v>14.6</v>
          </cell>
          <cell r="B191" t="str">
            <v xml:space="preserve"> 86904 </v>
          </cell>
          <cell r="C191" t="str">
            <v>SINAPI</v>
          </cell>
          <cell r="D191" t="str">
            <v>LAVATÓRIO LOUÇA BRANCA SUSPENSO, 29,5 X 39CM OU EQUIVALENTE, PADRÃO POPULAR - FORNECIMENTO E INSTALAÇÃO. AF_01/2020</v>
          </cell>
          <cell r="E191" t="str">
            <v>UN</v>
          </cell>
          <cell r="F191">
            <v>5</v>
          </cell>
          <cell r="G191">
            <v>108.2</v>
          </cell>
          <cell r="H191">
            <v>132.51</v>
          </cell>
          <cell r="I191">
            <v>662.55</v>
          </cell>
          <cell r="J191">
            <v>4.7291220556745182E-4</v>
          </cell>
        </row>
        <row r="192">
          <cell r="A192" t="str">
            <v>14.7</v>
          </cell>
          <cell r="B192" t="str">
            <v xml:space="preserve"> 86901 </v>
          </cell>
          <cell r="C192" t="str">
            <v>SINAPI</v>
          </cell>
          <cell r="D192" t="str">
            <v>CUBA DE EMBUTIR OVAL EM LOUÇA BRANCA, 35 X 50CM OU EQUIVALENTE - FORNECIMENTO E INSTALAÇÃO. AF_01/2020</v>
          </cell>
          <cell r="E192" t="str">
            <v>UN</v>
          </cell>
          <cell r="F192">
            <v>6</v>
          </cell>
          <cell r="G192">
            <v>108.44</v>
          </cell>
          <cell r="H192">
            <v>132.80000000000001</v>
          </cell>
          <cell r="I192">
            <v>796.8</v>
          </cell>
          <cell r="J192">
            <v>5.6873661670235544E-4</v>
          </cell>
        </row>
        <row r="193">
          <cell r="A193" t="str">
            <v>14.8</v>
          </cell>
          <cell r="B193" t="str">
            <v xml:space="preserve"> 86906 </v>
          </cell>
          <cell r="C193" t="str">
            <v>SINAPI</v>
          </cell>
          <cell r="D193" t="str">
            <v>TORNEIRA CROMADA DE MESA, 1/2 OU 3/4, PARA LAVATÓRIO, PADRÃO POPULAR - FORNECIMENTO E INSTALAÇÃO. AF_01/2020</v>
          </cell>
          <cell r="E193" t="str">
            <v>UN</v>
          </cell>
          <cell r="F193">
            <v>11</v>
          </cell>
          <cell r="G193">
            <v>45.62</v>
          </cell>
          <cell r="H193">
            <v>55.87</v>
          </cell>
          <cell r="I193">
            <v>614.57000000000005</v>
          </cell>
          <cell r="J193">
            <v>4.3866523911491789E-4</v>
          </cell>
        </row>
        <row r="194">
          <cell r="A194" t="str">
            <v>14.9</v>
          </cell>
          <cell r="B194" t="str">
            <v xml:space="preserve"> 95544 </v>
          </cell>
          <cell r="C194" t="str">
            <v>SINAPI</v>
          </cell>
          <cell r="D194" t="str">
            <v>PAPELEIRA DE PAREDE EM METAL CROMADO SEM TAMPA, INCLUSO FIXAÇÃO. AF_01/2020</v>
          </cell>
          <cell r="E194" t="str">
            <v>UN</v>
          </cell>
          <cell r="F194">
            <v>8</v>
          </cell>
          <cell r="G194">
            <v>20.57</v>
          </cell>
          <cell r="H194">
            <v>25.19</v>
          </cell>
          <cell r="I194">
            <v>201.52</v>
          </cell>
          <cell r="J194">
            <v>1.4384011420413991E-4</v>
          </cell>
        </row>
        <row r="195">
          <cell r="A195" t="str">
            <v>14.10</v>
          </cell>
          <cell r="B195" t="str">
            <v xml:space="preserve"> 100868 </v>
          </cell>
          <cell r="C195" t="str">
            <v>SINAPI</v>
          </cell>
          <cell r="D195" t="str">
            <v>BARRA DE APOIO RETA, EM ACO INOX POLIDO, COMPRIMENTO 80 CM,  FIXADA NA PAREDE - FORNECIMENTO E INSTALAÇÃO. AF_01/2020</v>
          </cell>
          <cell r="E195" t="str">
            <v>UN</v>
          </cell>
          <cell r="F195">
            <v>4</v>
          </cell>
          <cell r="G195">
            <v>251.25</v>
          </cell>
          <cell r="H195">
            <v>307.7</v>
          </cell>
          <cell r="I195">
            <v>1230.8</v>
          </cell>
          <cell r="J195">
            <v>8.7851534618129908E-4</v>
          </cell>
        </row>
        <row r="196">
          <cell r="A196" t="str">
            <v>14.11</v>
          </cell>
          <cell r="B196" t="str">
            <v xml:space="preserve"> 100864 </v>
          </cell>
          <cell r="C196" t="str">
            <v>SINAPI</v>
          </cell>
          <cell r="D196" t="str">
            <v>BARRA DE APOIO EM "L", EM ACO INOX POLIDO 80 X 80 CM, FIXADA NA PAREDE - FORNECIMENTO E INSTALACAO. AF_01/2020</v>
          </cell>
          <cell r="E196" t="str">
            <v>UN</v>
          </cell>
          <cell r="F196">
            <v>2</v>
          </cell>
          <cell r="G196">
            <v>484.83</v>
          </cell>
          <cell r="H196">
            <v>593.77</v>
          </cell>
          <cell r="I196">
            <v>1187.54</v>
          </cell>
          <cell r="J196">
            <v>8.4763740185581722E-4</v>
          </cell>
        </row>
        <row r="197">
          <cell r="A197" t="str">
            <v>14.12</v>
          </cell>
          <cell r="B197" t="str">
            <v xml:space="preserve"> 4287 </v>
          </cell>
          <cell r="C197" t="str">
            <v>ORSE</v>
          </cell>
          <cell r="D197" t="str">
            <v>Dispenser para toalha interfolhada</v>
          </cell>
          <cell r="E197" t="str">
            <v>un</v>
          </cell>
          <cell r="F197">
            <v>9</v>
          </cell>
          <cell r="G197">
            <v>36.630000000000003</v>
          </cell>
          <cell r="H197">
            <v>44.86</v>
          </cell>
          <cell r="I197">
            <v>403.74</v>
          </cell>
          <cell r="J197">
            <v>2.8817987152034261E-4</v>
          </cell>
        </row>
        <row r="198">
          <cell r="A198" t="str">
            <v>14.13</v>
          </cell>
          <cell r="B198" t="str">
            <v xml:space="preserve"> 95547 </v>
          </cell>
          <cell r="C198" t="str">
            <v>SINAPI</v>
          </cell>
          <cell r="D198" t="str">
            <v>SABONETEIRA PLASTICA TIPO DISPENSER PARA SABONETE LIQUIDO COM RESERVATORIO 800 A 1500 ML, INCLUSO FIXAÇÃO. AF_01/2020</v>
          </cell>
          <cell r="E198" t="str">
            <v>UN</v>
          </cell>
          <cell r="F198">
            <v>9</v>
          </cell>
          <cell r="G198">
            <v>71.19</v>
          </cell>
          <cell r="H198">
            <v>87.18</v>
          </cell>
          <cell r="I198">
            <v>784.62</v>
          </cell>
          <cell r="J198">
            <v>5.600428265524625E-4</v>
          </cell>
        </row>
        <row r="199">
          <cell r="A199" t="str">
            <v>14.14</v>
          </cell>
          <cell r="B199" t="str">
            <v xml:space="preserve"> 86919 </v>
          </cell>
          <cell r="C199" t="str">
            <v>SINAPI</v>
          </cell>
          <cell r="D199" t="str">
            <v>TANQUE DE LOUÇA BRANCA COM COLUNA, 30L OU EQUIVALENTE, INCLUSO SIFÃO FLEXÍVEL EM PVC, VÁLVULA METÁLICA E TORNEIRA DE METAL CROMADO PADRÃO MÉDIO - FORNECIMENTO E INSTALAÇÃO. AF_01/2020</v>
          </cell>
          <cell r="E199" t="str">
            <v>UN</v>
          </cell>
          <cell r="F199">
            <v>1</v>
          </cell>
          <cell r="G199">
            <v>642.35</v>
          </cell>
          <cell r="H199">
            <v>786.68</v>
          </cell>
          <cell r="I199">
            <v>786.68</v>
          </cell>
          <cell r="J199">
            <v>5.6151320485367594E-4</v>
          </cell>
        </row>
        <row r="200">
          <cell r="A200" t="str">
            <v>14.15</v>
          </cell>
          <cell r="B200" t="str">
            <v xml:space="preserve"> 86936 </v>
          </cell>
          <cell r="C200" t="str">
            <v>SINAPI</v>
          </cell>
          <cell r="D200" t="str">
            <v>CUBA DE EMBUTIR DE AÇO INOXIDÁVEL MÉDIA, INCLUSO VÁLVULA TIPO AMERICANA E SIFÃO TIPO GARRAFA EM METAL CROMADO - FORNECIMENTO E INSTALAÇÃO. AF_01/2020</v>
          </cell>
          <cell r="E200" t="str">
            <v>UN</v>
          </cell>
          <cell r="F200">
            <v>4</v>
          </cell>
          <cell r="G200">
            <v>331.94</v>
          </cell>
          <cell r="H200">
            <v>406.52</v>
          </cell>
          <cell r="I200">
            <v>1626.08</v>
          </cell>
          <cell r="J200">
            <v>1.1606566738044254E-3</v>
          </cell>
        </row>
        <row r="201">
          <cell r="A201" t="str">
            <v>14.16</v>
          </cell>
          <cell r="B201" t="str">
            <v xml:space="preserve"> 86909 </v>
          </cell>
          <cell r="C201" t="str">
            <v>SINAPI</v>
          </cell>
          <cell r="D201" t="str">
            <v>TORNEIRA CROMADA TUBO MÓVEL, DE MESA, 1/2 OU 3/4, PARA PIA DE COZINHA, PADRÃO ALTO - FORNECIMENTO E INSTALAÇÃO. AF_01/2020</v>
          </cell>
          <cell r="E201" t="str">
            <v>UN</v>
          </cell>
          <cell r="F201">
            <v>5</v>
          </cell>
          <cell r="G201">
            <v>79.23</v>
          </cell>
          <cell r="H201">
            <v>97.03</v>
          </cell>
          <cell r="I201">
            <v>485.15</v>
          </cell>
          <cell r="J201">
            <v>3.4628836545324768E-4</v>
          </cell>
        </row>
        <row r="202">
          <cell r="A202" t="str">
            <v>14.17</v>
          </cell>
          <cell r="B202" t="str">
            <v xml:space="preserve"> 86936 </v>
          </cell>
          <cell r="C202" t="str">
            <v>SINAPI</v>
          </cell>
          <cell r="D202" t="str">
            <v>CUBA DE EMBUTIR DE AÇO INOXIDÁVEL MÉDIA, INCLUSO VÁLVULA TIPO AMERICANA E SIFÃO TIPO GARRAFA EM METAL CROMADO - FORNECIMENTO E INSTALAÇÃO. AF_01/2020</v>
          </cell>
          <cell r="E202" t="str">
            <v>UN</v>
          </cell>
          <cell r="F202">
            <v>2</v>
          </cell>
          <cell r="G202">
            <v>331.94</v>
          </cell>
          <cell r="H202">
            <v>406.52</v>
          </cell>
          <cell r="I202">
            <v>813.04</v>
          </cell>
          <cell r="J202">
            <v>5.8032833690221269E-4</v>
          </cell>
        </row>
        <row r="203">
          <cell r="A203" t="str">
            <v>14.18</v>
          </cell>
          <cell r="B203" t="str">
            <v xml:space="preserve"> C2507 </v>
          </cell>
          <cell r="C203" t="str">
            <v>SEINFRA</v>
          </cell>
          <cell r="D203" t="str">
            <v>TORNEIRA ELÉTRICA AUTOMÁTICA 220V-2800W (INSTALADO)</v>
          </cell>
          <cell r="E203" t="str">
            <v>UN</v>
          </cell>
          <cell r="F203">
            <v>1</v>
          </cell>
          <cell r="G203">
            <v>118.98</v>
          </cell>
          <cell r="H203">
            <v>145.71</v>
          </cell>
          <cell r="I203">
            <v>145.71</v>
          </cell>
          <cell r="J203">
            <v>1.0400428265524626E-4</v>
          </cell>
        </row>
        <row r="204">
          <cell r="A204" t="str">
            <v>14.19</v>
          </cell>
          <cell r="B204" t="str">
            <v xml:space="preserve"> 2025 </v>
          </cell>
          <cell r="C204" t="str">
            <v>ORSE</v>
          </cell>
          <cell r="D204" t="str">
            <v>Chuveiro elétrico de plástico (lorenzetti ou similar)</v>
          </cell>
          <cell r="E204" t="str">
            <v>un</v>
          </cell>
          <cell r="F204">
            <v>1</v>
          </cell>
          <cell r="G204">
            <v>86.46</v>
          </cell>
          <cell r="H204">
            <v>105.88</v>
          </cell>
          <cell r="I204">
            <v>105.88</v>
          </cell>
          <cell r="J204">
            <v>7.5574589578872233E-5</v>
          </cell>
        </row>
        <row r="205">
          <cell r="A205" t="str">
            <v>14.20</v>
          </cell>
          <cell r="B205" t="str">
            <v xml:space="preserve"> 86915 </v>
          </cell>
          <cell r="C205" t="str">
            <v>SINAPI</v>
          </cell>
          <cell r="D205" t="str">
            <v>TORNEIRA CROMADA DE MESA, 1/2 OU 3/4, PARA LAVATÓRIO, PADRÃO MÉDIO - FORNECIMENTO E INSTALAÇÃO. AF_01/2020</v>
          </cell>
          <cell r="E205" t="str">
            <v>UN</v>
          </cell>
          <cell r="F205">
            <v>5</v>
          </cell>
          <cell r="G205">
            <v>87.1</v>
          </cell>
          <cell r="H205">
            <v>106.67</v>
          </cell>
          <cell r="I205">
            <v>533.35</v>
          </cell>
          <cell r="J205">
            <v>3.8069236259814418E-4</v>
          </cell>
        </row>
        <row r="206">
          <cell r="A206" t="str">
            <v xml:space="preserve"> 15 </v>
          </cell>
          <cell r="D206" t="str">
            <v>INSTALAÇÃO DE GÁS COMBUSTÍVEL</v>
          </cell>
          <cell r="I206">
            <v>3188.84</v>
          </cell>
          <cell r="J206">
            <v>2.2761170592433978E-3</v>
          </cell>
        </row>
        <row r="207">
          <cell r="A207" t="str">
            <v>15.1</v>
          </cell>
          <cell r="B207" t="str">
            <v xml:space="preserve"> 94970 </v>
          </cell>
          <cell r="C207" t="str">
            <v>SINAPI</v>
          </cell>
          <cell r="D207" t="str">
            <v>CONCRETO FCK = 20MPA, TRAÇO 1:2,7:3 (EM MASSA SECA DE CIMENTO/ AREIA MÉDIA/ BRITA 1) - PREPARO MECÂNICO COM BETONEIRA 600 L. AF_05/2021</v>
          </cell>
          <cell r="E207" t="str">
            <v>m³</v>
          </cell>
          <cell r="F207">
            <v>0.8</v>
          </cell>
          <cell r="G207">
            <v>322.93</v>
          </cell>
          <cell r="H207">
            <v>395.49</v>
          </cell>
          <cell r="I207">
            <v>316.39</v>
          </cell>
          <cell r="J207">
            <v>2.258315488936474E-4</v>
          </cell>
        </row>
        <row r="208">
          <cell r="A208" t="str">
            <v>15.2</v>
          </cell>
          <cell r="B208" t="str">
            <v xml:space="preserve"> 91341 </v>
          </cell>
          <cell r="C208" t="str">
            <v>SINAPI</v>
          </cell>
          <cell r="D208" t="str">
            <v>PORTA EM ALUMÍNIO DE ABRIR TIPO VENEZIANA COM GUARNIÇÃO, FIXAÇÃO COM PARAFUSOS - FORNECIMENTO E INSTALAÇÃO. AF_12/2019</v>
          </cell>
          <cell r="E208" t="str">
            <v>m²</v>
          </cell>
          <cell r="F208">
            <v>0.16</v>
          </cell>
          <cell r="G208">
            <v>667.29</v>
          </cell>
          <cell r="H208">
            <v>817.23</v>
          </cell>
          <cell r="I208">
            <v>130.75</v>
          </cell>
          <cell r="J208">
            <v>9.3326195574589584E-5</v>
          </cell>
        </row>
        <row r="209">
          <cell r="A209" t="str">
            <v>15.3</v>
          </cell>
          <cell r="B209" t="str">
            <v xml:space="preserve"> 92688 </v>
          </cell>
          <cell r="C209" t="str">
            <v>SINAPI</v>
          </cell>
          <cell r="D209" t="str">
            <v>TUBO DE AÇO GALVANIZADO COM COSTURA, CLASSE MÉDIA, CONEXÃO ROSQUEADA, DN 20 (3/4"), INSTALADO EM RAMAIS E SUB-RAMAIS DE GÁS - FORNECIMENTO E INSTALAÇÃO. AF_10/2020</v>
          </cell>
          <cell r="E209" t="str">
            <v>M</v>
          </cell>
          <cell r="F209">
            <v>7.2</v>
          </cell>
          <cell r="G209">
            <v>28.61</v>
          </cell>
          <cell r="H209">
            <v>35.03</v>
          </cell>
          <cell r="I209">
            <v>252.21</v>
          </cell>
          <cell r="J209">
            <v>1.8002141327623126E-4</v>
          </cell>
        </row>
        <row r="210">
          <cell r="A210" t="str">
            <v>15.4</v>
          </cell>
          <cell r="B210" t="str">
            <v xml:space="preserve"> 92693 </v>
          </cell>
          <cell r="C210" t="str">
            <v>SINAPI</v>
          </cell>
          <cell r="D210" t="str">
            <v>LUVA, EM FERRO GALVANIZADO, CONEXÃO ROSQUEADA, DN 15 (1/2"), INSTALADO EM RAMAIS E SUB-RAMAIS DE GÁS - FORNECIMENTO E INSTALAÇÃO. AF_10/2020</v>
          </cell>
          <cell r="E210" t="str">
            <v>UN</v>
          </cell>
          <cell r="F210">
            <v>2</v>
          </cell>
          <cell r="G210">
            <v>10.050000000000001</v>
          </cell>
          <cell r="H210">
            <v>12.3</v>
          </cell>
          <cell r="I210">
            <v>24.6</v>
          </cell>
          <cell r="J210">
            <v>1.7558886509635974E-5</v>
          </cell>
        </row>
        <row r="211">
          <cell r="A211" t="str">
            <v>15.5</v>
          </cell>
          <cell r="B211" t="str">
            <v xml:space="preserve"> COM-H2023 </v>
          </cell>
          <cell r="C211" t="str">
            <v>Próprio</v>
          </cell>
          <cell r="D211" t="str">
            <v>FITA ANTICORROSIVA 5CM POR 30M, DUAS CAMADAS</v>
          </cell>
          <cell r="E211" t="str">
            <v>UN</v>
          </cell>
          <cell r="F211">
            <v>4</v>
          </cell>
          <cell r="G211">
            <v>85.64</v>
          </cell>
          <cell r="H211">
            <v>104.88</v>
          </cell>
          <cell r="I211">
            <v>419.52</v>
          </cell>
          <cell r="J211">
            <v>2.9944325481798717E-4</v>
          </cell>
        </row>
        <row r="212">
          <cell r="A212" t="str">
            <v>15.6</v>
          </cell>
          <cell r="B212" t="str">
            <v xml:space="preserve"> C1250 </v>
          </cell>
          <cell r="C212" t="str">
            <v>SEINFRA</v>
          </cell>
          <cell r="D212" t="str">
            <v>ENVELOPE DE CONCRETO P/PROTEÇÃO DE TUBO PVC ENTERRADO</v>
          </cell>
          <cell r="E212" t="str">
            <v>M</v>
          </cell>
          <cell r="F212">
            <v>7.28</v>
          </cell>
          <cell r="G212">
            <v>13.76</v>
          </cell>
          <cell r="H212">
            <v>16.850000000000001</v>
          </cell>
          <cell r="I212">
            <v>122.66</v>
          </cell>
          <cell r="J212">
            <v>8.7551748750892223E-5</v>
          </cell>
        </row>
        <row r="213">
          <cell r="A213" t="str">
            <v>15.7</v>
          </cell>
          <cell r="B213" t="str">
            <v xml:space="preserve"> 101917 </v>
          </cell>
          <cell r="C213" t="str">
            <v>SINAPI</v>
          </cell>
          <cell r="D213" t="str">
            <v>MANÔMETRO 0 A 200 PSI (0 A 14 KGF/CM2), D = 50MM - FORNECIMENTO E INSTALAÇÃO. AF_10/2020</v>
          </cell>
          <cell r="E213" t="str">
            <v>UN</v>
          </cell>
          <cell r="F213">
            <v>1</v>
          </cell>
          <cell r="G213">
            <v>108.54</v>
          </cell>
          <cell r="H213">
            <v>132.91999999999999</v>
          </cell>
          <cell r="I213">
            <v>132.91999999999999</v>
          </cell>
          <cell r="J213">
            <v>9.4875089221984295E-5</v>
          </cell>
        </row>
        <row r="214">
          <cell r="A214" t="str">
            <v>15.8</v>
          </cell>
          <cell r="B214" t="str">
            <v xml:space="preserve"> 10881 </v>
          </cell>
          <cell r="C214" t="str">
            <v>ORSE</v>
          </cell>
          <cell r="D214" t="str">
            <v>Regulador de gás 2º estágio de 7 kg/h (instalação gás)</v>
          </cell>
          <cell r="E214" t="str">
            <v>un</v>
          </cell>
          <cell r="F214">
            <v>2</v>
          </cell>
          <cell r="G214">
            <v>41.46</v>
          </cell>
          <cell r="H214">
            <v>50.77</v>
          </cell>
          <cell r="I214">
            <v>101.54</v>
          </cell>
          <cell r="J214">
            <v>7.2476802284082798E-5</v>
          </cell>
        </row>
        <row r="215">
          <cell r="A215" t="str">
            <v>15.9</v>
          </cell>
          <cell r="B215" t="str">
            <v xml:space="preserve"> COM-I2023 </v>
          </cell>
          <cell r="C215" t="str">
            <v>Próprio</v>
          </cell>
          <cell r="D215" t="str">
            <v>INSTALAÇÃO BÁSICA PARA ABRIGO DE GÁS (CAPACIDADE 2 CILINDROS GLP DE 45 KG)</v>
          </cell>
          <cell r="E215" t="str">
            <v>UN</v>
          </cell>
          <cell r="F215">
            <v>1</v>
          </cell>
          <cell r="G215">
            <v>1234.49</v>
          </cell>
          <cell r="H215">
            <v>1511.87</v>
          </cell>
          <cell r="I215">
            <v>1511.87</v>
          </cell>
          <cell r="J215">
            <v>1.0791363311920057E-3</v>
          </cell>
        </row>
        <row r="216">
          <cell r="A216" t="str">
            <v>15.10</v>
          </cell>
          <cell r="B216" t="str">
            <v xml:space="preserve"> COM-J2023 </v>
          </cell>
          <cell r="C216" t="str">
            <v>Próprio</v>
          </cell>
          <cell r="D216" t="str">
            <v>PLACA DE SINALIZAÇÃO EM PVC COD 01(500 X 300 MM) - PROIBIDO FUMAR</v>
          </cell>
          <cell r="E216" t="str">
            <v>UN</v>
          </cell>
          <cell r="F216">
            <v>1</v>
          </cell>
          <cell r="G216">
            <v>72.010000000000005</v>
          </cell>
          <cell r="H216">
            <v>88.19</v>
          </cell>
          <cell r="I216">
            <v>88.19</v>
          </cell>
          <cell r="J216">
            <v>6.2947894361170591E-5</v>
          </cell>
        </row>
        <row r="217">
          <cell r="A217" t="str">
            <v>15.11</v>
          </cell>
          <cell r="B217" t="str">
            <v xml:space="preserve"> COM-K2023 </v>
          </cell>
          <cell r="C217" t="str">
            <v>Próprio</v>
          </cell>
          <cell r="D217" t="str">
            <v>PLACA DE SINALIZAÇÃO EM PVC COD 06 (500X300)MM - PERIGO INFLAMÁVEL</v>
          </cell>
          <cell r="E217" t="str">
            <v>UN</v>
          </cell>
          <cell r="F217">
            <v>1</v>
          </cell>
          <cell r="G217">
            <v>72.010000000000005</v>
          </cell>
          <cell r="H217">
            <v>88.19</v>
          </cell>
          <cell r="I217">
            <v>88.19</v>
          </cell>
          <cell r="J217">
            <v>6.2947894361170591E-5</v>
          </cell>
        </row>
        <row r="218">
          <cell r="A218" t="str">
            <v xml:space="preserve"> 16 </v>
          </cell>
          <cell r="D218" t="str">
            <v>SISTEMA DE PROTEÇÃO CONTRA INCÊNDIO</v>
          </cell>
          <cell r="I218">
            <v>2202.83</v>
          </cell>
          <cell r="J218">
            <v>1.572326909350464E-3</v>
          </cell>
        </row>
        <row r="219">
          <cell r="A219" t="str">
            <v>16.1</v>
          </cell>
          <cell r="B219" t="str">
            <v xml:space="preserve"> 101909 </v>
          </cell>
          <cell r="C219" t="str">
            <v>SINAPI</v>
          </cell>
          <cell r="D219" t="str">
            <v>EXTINTOR DE INCÊNDIO PORTÁTIL COM CARGA DE PQS DE 6 KG, CLASSE BC - FORNECIMENTO E INSTALAÇÃO. AF_10/2020_PE</v>
          </cell>
          <cell r="E219" t="str">
            <v>UN</v>
          </cell>
          <cell r="F219">
            <v>5</v>
          </cell>
          <cell r="G219">
            <v>236.35</v>
          </cell>
          <cell r="H219">
            <v>289.45</v>
          </cell>
          <cell r="I219">
            <v>1447.25</v>
          </cell>
          <cell r="J219">
            <v>1.0330121341898643E-3</v>
          </cell>
        </row>
        <row r="220">
          <cell r="A220" t="str">
            <v>16.2</v>
          </cell>
          <cell r="B220" t="str">
            <v xml:space="preserve"> 97599 </v>
          </cell>
          <cell r="C220" t="str">
            <v>SINAPI</v>
          </cell>
          <cell r="D220" t="str">
            <v>LUMINÁRIA DE EMERGÊNCIA, COM 30 LÂMPADAS LED DE 2 W, SEM REATOR - FORNECIMENTO E INSTALAÇÃO. AF_02/2020</v>
          </cell>
          <cell r="E220" t="str">
            <v>UN</v>
          </cell>
          <cell r="F220">
            <v>16</v>
          </cell>
          <cell r="G220">
            <v>18.53</v>
          </cell>
          <cell r="H220">
            <v>22.69</v>
          </cell>
          <cell r="I220">
            <v>363.04</v>
          </cell>
          <cell r="J220">
            <v>2.5912919343326195E-4</v>
          </cell>
        </row>
        <row r="221">
          <cell r="A221" t="str">
            <v>16.3</v>
          </cell>
          <cell r="B221" t="str">
            <v xml:space="preserve"> 11688 </v>
          </cell>
          <cell r="C221" t="str">
            <v>ORSE</v>
          </cell>
          <cell r="D221" t="str">
            <v>Sinalização horizontal rodoviária, com tinta retrorrefletiva à base de resina acrílica com microesferas de vidro</v>
          </cell>
          <cell r="E221" t="str">
            <v>m²</v>
          </cell>
          <cell r="F221">
            <v>5</v>
          </cell>
          <cell r="G221">
            <v>21.45</v>
          </cell>
          <cell r="H221">
            <v>26.26</v>
          </cell>
          <cell r="I221">
            <v>131.30000000000001</v>
          </cell>
          <cell r="J221">
            <v>9.3718772305496071E-5</v>
          </cell>
        </row>
        <row r="222">
          <cell r="A222" t="str">
            <v>16.4</v>
          </cell>
          <cell r="B222" t="str">
            <v xml:space="preserve"> 12895 </v>
          </cell>
          <cell r="C222" t="str">
            <v>ORSE</v>
          </cell>
          <cell r="D222" t="str">
            <v>Placa de sinalizacao, fotoluminescente, em pvc , rota de fuga</v>
          </cell>
          <cell r="E222" t="str">
            <v>un</v>
          </cell>
          <cell r="F222">
            <v>21</v>
          </cell>
          <cell r="G222">
            <v>10.16</v>
          </cell>
          <cell r="H222">
            <v>12.44</v>
          </cell>
          <cell r="I222">
            <v>261.24</v>
          </cell>
          <cell r="J222">
            <v>1.8646680942184155E-4</v>
          </cell>
        </row>
        <row r="223">
          <cell r="A223" t="str">
            <v xml:space="preserve"> 17 </v>
          </cell>
          <cell r="D223" t="str">
            <v>INSTALAÇÕES ELÉTRICAS E TELEFÔNICAS 220V</v>
          </cell>
          <cell r="I223">
            <v>60978.92</v>
          </cell>
          <cell r="J223">
            <v>4.352528194147038E-2</v>
          </cell>
        </row>
        <row r="224">
          <cell r="A224" t="str">
            <v xml:space="preserve"> 17.1 </v>
          </cell>
          <cell r="D224" t="str">
            <v>QUADRO DE DISTRIBUIÇÃO</v>
          </cell>
          <cell r="I224">
            <v>4457.68</v>
          </cell>
          <cell r="J224">
            <v>3.1817844396859387E-3</v>
          </cell>
        </row>
        <row r="225">
          <cell r="A225" t="str">
            <v>17.1.1</v>
          </cell>
          <cell r="B225" t="str">
            <v xml:space="preserve"> 101875 </v>
          </cell>
          <cell r="C225" t="str">
            <v>SINAPI</v>
          </cell>
          <cell r="D225" t="str">
            <v>QUADRO DE DISTRIBUIÇÃO DE ENERGIA EM CHAPA DE AÇO GALVANIZADO, DE EMBUTIR, COM BARRAMENTO TRIFÁSICO, PARA 12 DISJUNTORES DIN 100A - FORNECIMENTO E INSTALAÇÃO. AF_10/2020</v>
          </cell>
          <cell r="E225" t="str">
            <v>UN</v>
          </cell>
          <cell r="F225">
            <v>2</v>
          </cell>
          <cell r="G225">
            <v>265.12</v>
          </cell>
          <cell r="H225">
            <v>324.69</v>
          </cell>
          <cell r="I225">
            <v>649.38</v>
          </cell>
          <cell r="J225">
            <v>4.635117773019272E-4</v>
          </cell>
        </row>
        <row r="226">
          <cell r="A226" t="str">
            <v>17.1.2</v>
          </cell>
          <cell r="B226" t="str">
            <v xml:space="preserve"> 101883 </v>
          </cell>
          <cell r="C226" t="str">
            <v>SINAPI</v>
          </cell>
          <cell r="D226" t="str">
            <v>QUADRO DE DISTRIBUIÇÃO DE ENERGIA EM CHAPA DE AÇO GALVANIZADO, DE EMBUTIR, COM BARRAMENTO TRIFÁSICO, PARA 18 DISJUNTORES DIN 100A - FORNECIMENTO E INSTALAÇÃO. AF_10/2020</v>
          </cell>
          <cell r="E226" t="str">
            <v>UN</v>
          </cell>
          <cell r="F226">
            <v>1</v>
          </cell>
          <cell r="G226">
            <v>365.55</v>
          </cell>
          <cell r="H226">
            <v>447.68</v>
          </cell>
          <cell r="I226">
            <v>447.68</v>
          </cell>
          <cell r="J226">
            <v>3.1954318344039974E-4</v>
          </cell>
        </row>
        <row r="227">
          <cell r="A227" t="str">
            <v>17.1.3</v>
          </cell>
          <cell r="B227" t="str">
            <v xml:space="preserve"> 100560 </v>
          </cell>
          <cell r="C227" t="str">
            <v>SINAPI</v>
          </cell>
          <cell r="D227" t="str">
            <v>QUADRO DE DISTRIBUIÇÃO PARA TELEFONE N.2, 20X20X12CM EM CHAPA METALICA, DE EMBUTIR, SEM ACESSORIOS, PADRÃO TELEBRAS, FORNECIMENTO E INSTALAÇÃO. AF_11/2019</v>
          </cell>
          <cell r="E227" t="str">
            <v>UN</v>
          </cell>
          <cell r="F227">
            <v>1</v>
          </cell>
          <cell r="G227">
            <v>72.739999999999995</v>
          </cell>
          <cell r="H227">
            <v>89.08</v>
          </cell>
          <cell r="I227">
            <v>89.08</v>
          </cell>
          <cell r="J227">
            <v>6.3583154889364739E-5</v>
          </cell>
        </row>
        <row r="228">
          <cell r="A228" t="str">
            <v>17.1.4</v>
          </cell>
          <cell r="B228" t="str">
            <v xml:space="preserve"> C3579 </v>
          </cell>
          <cell r="C228" t="str">
            <v>SEINFRA</v>
          </cell>
          <cell r="D228" t="str">
            <v>QUADRO DE MEDIÇÃO PADRÃO COELCE - PADRÃO POPULAR</v>
          </cell>
          <cell r="E228" t="str">
            <v>UN</v>
          </cell>
          <cell r="F228">
            <v>1</v>
          </cell>
          <cell r="G228">
            <v>72.709999999999994</v>
          </cell>
          <cell r="H228">
            <v>89.04</v>
          </cell>
          <cell r="I228">
            <v>89.04</v>
          </cell>
          <cell r="J228">
            <v>6.3554603854389718E-5</v>
          </cell>
        </row>
        <row r="229">
          <cell r="A229" t="str">
            <v>17.1.5</v>
          </cell>
          <cell r="B229" t="str">
            <v xml:space="preserve"> 8633 </v>
          </cell>
          <cell r="C229" t="str">
            <v>ORSE</v>
          </cell>
          <cell r="D229" t="str">
            <v>Disjuntor termomagnetico monopolar 10 A, padrão DIN (linha branca) curva de disparo B, corrente de interrupção 5KA, ref.: Siemens 5 SX1 ou similar.</v>
          </cell>
          <cell r="E229" t="str">
            <v>un</v>
          </cell>
          <cell r="F229">
            <v>6</v>
          </cell>
          <cell r="G229">
            <v>13.6</v>
          </cell>
          <cell r="H229">
            <v>16.649999999999999</v>
          </cell>
          <cell r="I229">
            <v>99.9</v>
          </cell>
          <cell r="J229">
            <v>7.130620985010707E-5</v>
          </cell>
        </row>
        <row r="230">
          <cell r="A230" t="str">
            <v>17.1.6</v>
          </cell>
          <cell r="B230" t="str">
            <v xml:space="preserve"> 9518 </v>
          </cell>
          <cell r="C230" t="str">
            <v>ORSE</v>
          </cell>
          <cell r="D230" t="str">
            <v>Disjuntor termomagnético monopolar 25 A, padrão DIN (linha branca), curva de disparo B, corrente de interrupção 5KA, ref.: Siemens 5 SX1 ou similar.</v>
          </cell>
          <cell r="E230" t="str">
            <v>un</v>
          </cell>
          <cell r="F230">
            <v>1</v>
          </cell>
          <cell r="G230">
            <v>14.64</v>
          </cell>
          <cell r="H230">
            <v>17.920000000000002</v>
          </cell>
          <cell r="I230">
            <v>17.920000000000002</v>
          </cell>
          <cell r="J230">
            <v>1.2790863668807995E-5</v>
          </cell>
        </row>
        <row r="231">
          <cell r="A231" t="str">
            <v>17.1.7</v>
          </cell>
          <cell r="B231" t="str">
            <v xml:space="preserve"> 10315 </v>
          </cell>
          <cell r="C231" t="str">
            <v>ORSE</v>
          </cell>
          <cell r="D231" t="str">
            <v>Disjuntor termomagnetico monopolar 32 A, padrão DIN (Europeu - linha branca)</v>
          </cell>
          <cell r="E231" t="str">
            <v>un</v>
          </cell>
          <cell r="F231">
            <v>2</v>
          </cell>
          <cell r="G231">
            <v>15.88</v>
          </cell>
          <cell r="H231">
            <v>19.440000000000001</v>
          </cell>
          <cell r="I231">
            <v>38.880000000000003</v>
          </cell>
          <cell r="J231">
            <v>2.7751605995717344E-5</v>
          </cell>
        </row>
        <row r="232">
          <cell r="A232" t="str">
            <v>17.1.8</v>
          </cell>
          <cell r="B232" t="str">
            <v xml:space="preserve"> C4562 </v>
          </cell>
          <cell r="C232" t="str">
            <v>SEINFRA</v>
          </cell>
          <cell r="D232" t="str">
            <v>DISPOSITIVO DE PROTEÇÃO CONTRA SURTOS DE TENSÃO - DPS's - 40 KA/440V</v>
          </cell>
          <cell r="E232" t="str">
            <v>UN</v>
          </cell>
          <cell r="F232">
            <v>4</v>
          </cell>
          <cell r="G232">
            <v>84.82</v>
          </cell>
          <cell r="H232">
            <v>103.87</v>
          </cell>
          <cell r="I232">
            <v>415.48</v>
          </cell>
          <cell r="J232">
            <v>2.9655960028551032E-4</v>
          </cell>
        </row>
        <row r="233">
          <cell r="A233" t="str">
            <v>17.1.9</v>
          </cell>
          <cell r="B233" t="str">
            <v xml:space="preserve"> 8484 </v>
          </cell>
          <cell r="C233" t="str">
            <v>ORSE</v>
          </cell>
          <cell r="D233" t="str">
            <v>Disjuntor termomagnetico bipolar 10 A, padrão DIN (linha branca)</v>
          </cell>
          <cell r="E233" t="str">
            <v>un</v>
          </cell>
          <cell r="F233">
            <v>23</v>
          </cell>
          <cell r="G233">
            <v>37.19</v>
          </cell>
          <cell r="H233">
            <v>45.54</v>
          </cell>
          <cell r="I233">
            <v>1047.42</v>
          </cell>
          <cell r="J233">
            <v>7.4762312633832977E-4</v>
          </cell>
        </row>
        <row r="234">
          <cell r="A234" t="str">
            <v>17.1.10</v>
          </cell>
          <cell r="B234" t="str">
            <v xml:space="preserve"> 8485 </v>
          </cell>
          <cell r="C234" t="str">
            <v>ORSE</v>
          </cell>
          <cell r="D234" t="str">
            <v>Disjuntor termomagnetico bipolar 13 A, padrão NEMA (linha branca)</v>
          </cell>
          <cell r="E234" t="str">
            <v>un</v>
          </cell>
          <cell r="F234">
            <v>5</v>
          </cell>
          <cell r="G234">
            <v>54.28</v>
          </cell>
          <cell r="H234">
            <v>66.47</v>
          </cell>
          <cell r="I234">
            <v>332.35</v>
          </cell>
          <cell r="J234">
            <v>2.3722341184867951E-4</v>
          </cell>
        </row>
        <row r="235">
          <cell r="A235" t="str">
            <v>17.1.11</v>
          </cell>
          <cell r="B235" t="str">
            <v xml:space="preserve"> 8484 </v>
          </cell>
          <cell r="C235" t="str">
            <v>ORSE</v>
          </cell>
          <cell r="D235" t="str">
            <v>Disjuntor termomagnetico bipolar 10 A, padrão DIN (linha branca)</v>
          </cell>
          <cell r="E235" t="str">
            <v>un</v>
          </cell>
          <cell r="F235">
            <v>11</v>
          </cell>
          <cell r="G235">
            <v>37.19</v>
          </cell>
          <cell r="H235">
            <v>45.54</v>
          </cell>
          <cell r="I235">
            <v>500.94</v>
          </cell>
          <cell r="J235">
            <v>3.57558886509636E-4</v>
          </cell>
        </row>
        <row r="236">
          <cell r="A236" t="str">
            <v>17.1.12</v>
          </cell>
          <cell r="B236" t="str">
            <v xml:space="preserve"> 8485 </v>
          </cell>
          <cell r="C236" t="str">
            <v>ORSE</v>
          </cell>
          <cell r="D236" t="str">
            <v>Disjuntor termomagnetico bipolar 13 A, padrão NEMA (linha branca)</v>
          </cell>
          <cell r="E236" t="str">
            <v>un</v>
          </cell>
          <cell r="F236">
            <v>2</v>
          </cell>
          <cell r="G236">
            <v>54.28</v>
          </cell>
          <cell r="H236">
            <v>66.47</v>
          </cell>
          <cell r="I236">
            <v>132.94</v>
          </cell>
          <cell r="J236">
            <v>9.4889364739471813E-5</v>
          </cell>
        </row>
        <row r="237">
          <cell r="A237" t="str">
            <v>17.1.13</v>
          </cell>
          <cell r="B237" t="str">
            <v xml:space="preserve"> 7995 </v>
          </cell>
          <cell r="C237" t="str">
            <v>ORSE</v>
          </cell>
          <cell r="D237" t="str">
            <v>Disjuntor termomagnetico bipolar 40 A, padrão DIN (Europeu - linha branca), curva C, corrente 5KA</v>
          </cell>
          <cell r="E237" t="str">
            <v>un</v>
          </cell>
          <cell r="F237">
            <v>1</v>
          </cell>
          <cell r="G237">
            <v>57.13</v>
          </cell>
          <cell r="H237">
            <v>69.959999999999994</v>
          </cell>
          <cell r="I237">
            <v>69.959999999999994</v>
          </cell>
          <cell r="J237">
            <v>4.9935760171306208E-5</v>
          </cell>
        </row>
        <row r="238">
          <cell r="A238" t="str">
            <v>17.1.14</v>
          </cell>
          <cell r="B238" t="str">
            <v xml:space="preserve"> 101896 </v>
          </cell>
          <cell r="C238" t="str">
            <v>SINAPI</v>
          </cell>
          <cell r="D238" t="str">
            <v>DISJUNTOR TERMOMAGNÉTICO TRIPOLAR , CORRENTE NOMINAL DE 200A - FORNECIMENTO E INSTALAÇÃO. AF_10/2020</v>
          </cell>
          <cell r="E238" t="str">
            <v>UN</v>
          </cell>
          <cell r="F238">
            <v>1</v>
          </cell>
          <cell r="G238">
            <v>430.08</v>
          </cell>
          <cell r="H238">
            <v>526.71</v>
          </cell>
          <cell r="I238">
            <v>526.71</v>
          </cell>
          <cell r="J238">
            <v>3.759528907922912E-4</v>
          </cell>
        </row>
        <row r="239">
          <cell r="A239" t="str">
            <v xml:space="preserve"> 17.2 </v>
          </cell>
          <cell r="D239" t="str">
            <v>ELETRODUTOS E ACESSÓRIOS</v>
          </cell>
          <cell r="I239">
            <v>20395.740000000002</v>
          </cell>
          <cell r="J239">
            <v>1.4557987152034262E-2</v>
          </cell>
        </row>
        <row r="240">
          <cell r="A240" t="str">
            <v>17.2.1</v>
          </cell>
          <cell r="B240" t="str">
            <v xml:space="preserve"> 91854 </v>
          </cell>
          <cell r="C240" t="str">
            <v>SINAPI</v>
          </cell>
          <cell r="D240" t="str">
            <v>ELETRODUTO FLEXÍVEL CORRUGADO, PVC, DN 25 MM (3/4"), PARA CIRCUITOS TERMINAIS, INSTALADO EM PAREDE - FORNECIMENTO E INSTALAÇÃO. AF_03/2023</v>
          </cell>
          <cell r="E240" t="str">
            <v>M</v>
          </cell>
          <cell r="F240">
            <v>593.29999999999995</v>
          </cell>
          <cell r="G240">
            <v>6.39</v>
          </cell>
          <cell r="H240">
            <v>7.82</v>
          </cell>
          <cell r="I240">
            <v>4639.6000000000004</v>
          </cell>
          <cell r="J240">
            <v>3.3116345467523196E-3</v>
          </cell>
        </row>
        <row r="241">
          <cell r="A241" t="str">
            <v>17.2.2</v>
          </cell>
          <cell r="B241" t="str">
            <v xml:space="preserve"> 91856 </v>
          </cell>
          <cell r="C241" t="str">
            <v>SINAPI</v>
          </cell>
          <cell r="D241" t="str">
            <v>ELETRODUTO FLEXÍVEL CORRUGADO, PVC, DN 32 MM (1"), PARA CIRCUITOS TERMINAIS, INSTALADO EM PAREDE - FORNECIMENTO E INSTALAÇÃO. AF_03/2023</v>
          </cell>
          <cell r="E241" t="str">
            <v>M</v>
          </cell>
          <cell r="F241">
            <v>199.5</v>
          </cell>
          <cell r="G241">
            <v>8.2799999999999994</v>
          </cell>
          <cell r="H241">
            <v>10.14</v>
          </cell>
          <cell r="I241">
            <v>2022.93</v>
          </cell>
          <cell r="J241">
            <v>1.4439186295503211E-3</v>
          </cell>
        </row>
        <row r="242">
          <cell r="A242" t="str">
            <v>17.2.3</v>
          </cell>
          <cell r="B242" t="str">
            <v xml:space="preserve"> 93008 </v>
          </cell>
          <cell r="C242" t="str">
            <v>SINAPI</v>
          </cell>
          <cell r="D242" t="str">
            <v>ELETRODUTO RÍGIDO ROSCÁVEL, PVC, DN 50 MM (1 1/2"), PARA REDE ENTERRADA DE DISTRIBUIÇÃO DE ENERGIA ELÉTRICA - FORNECIMENTO E INSTALAÇÃO. AF_12/2021</v>
          </cell>
          <cell r="E242" t="str">
            <v>M</v>
          </cell>
          <cell r="F242">
            <v>159.5</v>
          </cell>
          <cell r="G242">
            <v>12.97</v>
          </cell>
          <cell r="H242">
            <v>15.88</v>
          </cell>
          <cell r="I242">
            <v>2532.86</v>
          </cell>
          <cell r="J242">
            <v>1.8078943611705923E-3</v>
          </cell>
        </row>
        <row r="243">
          <cell r="A243" t="str">
            <v>17.2.4</v>
          </cell>
          <cell r="B243" t="str">
            <v xml:space="preserve"> 93009 </v>
          </cell>
          <cell r="C243" t="str">
            <v>SINAPI</v>
          </cell>
          <cell r="D243" t="str">
            <v>ELETRODUTO RÍGIDO ROSCÁVEL, PVC, DN 60 MM (2"), PARA REDE ENTERRADA DE DISTRIBUIÇÃO DE ENERGIA ELÉTRICA - FORNECIMENTO E INSTALAÇÃO. AF_12/2021</v>
          </cell>
          <cell r="E243" t="str">
            <v>M</v>
          </cell>
          <cell r="F243">
            <v>102.4</v>
          </cell>
          <cell r="G243">
            <v>19.38</v>
          </cell>
          <cell r="H243">
            <v>23.73</v>
          </cell>
          <cell r="I243">
            <v>2429.9499999999998</v>
          </cell>
          <cell r="J243">
            <v>1.7344396859386153E-3</v>
          </cell>
        </row>
        <row r="244">
          <cell r="A244" t="str">
            <v>17.2.5</v>
          </cell>
          <cell r="B244" t="str">
            <v xml:space="preserve"> 93011 </v>
          </cell>
          <cell r="C244" t="str">
            <v>SINAPI</v>
          </cell>
          <cell r="D244" t="str">
            <v>ELETRODUTO RÍGIDO ROSCÁVEL, PVC, DN 85 MM (3"), PARA REDE ENTERRADA DE DISTRIBUIÇÃO DE ENERGIA ELÉTRICA - FORNECIMENTO E INSTALAÇÃO. AF_12/2021</v>
          </cell>
          <cell r="E244" t="str">
            <v>M</v>
          </cell>
          <cell r="F244">
            <v>80</v>
          </cell>
          <cell r="G244">
            <v>33.32</v>
          </cell>
          <cell r="H244">
            <v>40.799999999999997</v>
          </cell>
          <cell r="I244">
            <v>3264</v>
          </cell>
          <cell r="J244">
            <v>2.3297644539614559E-3</v>
          </cell>
        </row>
        <row r="245">
          <cell r="A245" t="str">
            <v>17.2.6</v>
          </cell>
          <cell r="B245" t="str">
            <v xml:space="preserve"> 92662 </v>
          </cell>
          <cell r="C245" t="str">
            <v>SINAPI</v>
          </cell>
          <cell r="D245" t="str">
            <v>LUVA, EM FERRO GALVANIZADO, CONEXÃO ROSQUEADA, DN 40 (1 1/2"), INSTALADO EM REDE DE ALIMENTAÇÃO PARA SPRINKLER - FORNECIMENTO E INSTALAÇÃO. AF_10/2020</v>
          </cell>
          <cell r="E245" t="str">
            <v>UN</v>
          </cell>
          <cell r="F245">
            <v>9</v>
          </cell>
          <cell r="G245">
            <v>27.85</v>
          </cell>
          <cell r="H245">
            <v>34.1</v>
          </cell>
          <cell r="I245">
            <v>306.89999999999998</v>
          </cell>
          <cell r="J245">
            <v>2.1905781584582442E-4</v>
          </cell>
        </row>
        <row r="246">
          <cell r="A246" t="str">
            <v>17.2.7</v>
          </cell>
          <cell r="B246" t="str">
            <v xml:space="preserve"> 92693 </v>
          </cell>
          <cell r="C246" t="str">
            <v>SINAPI</v>
          </cell>
          <cell r="D246" t="str">
            <v>LUVA, EM FERRO GALVANIZADO, CONEXÃO ROSQUEADA, DN 15 (1/2"), INSTALADO EM RAMAIS E SUB-RAMAIS DE GÁS - FORNECIMENTO E INSTALAÇÃO. AF_10/2020</v>
          </cell>
          <cell r="E246" t="str">
            <v>UN</v>
          </cell>
          <cell r="F246">
            <v>2</v>
          </cell>
          <cell r="G246">
            <v>10.050000000000001</v>
          </cell>
          <cell r="H246">
            <v>12.3</v>
          </cell>
          <cell r="I246">
            <v>24.6</v>
          </cell>
          <cell r="J246">
            <v>1.7558886509635974E-5</v>
          </cell>
        </row>
        <row r="247">
          <cell r="A247" t="str">
            <v>17.2.8</v>
          </cell>
          <cell r="B247" t="str">
            <v xml:space="preserve"> COM-L2023 </v>
          </cell>
          <cell r="C247" t="str">
            <v>Próprio</v>
          </cell>
          <cell r="D247" t="str">
            <v>CAIXA DE PASSAGEM 30X30X40CM COM TAMPA E DRENO DE BRITA</v>
          </cell>
          <cell r="E247" t="str">
            <v>UN</v>
          </cell>
          <cell r="F247">
            <v>9</v>
          </cell>
          <cell r="G247">
            <v>154.57</v>
          </cell>
          <cell r="H247">
            <v>189.3</v>
          </cell>
          <cell r="I247">
            <v>1703.7</v>
          </cell>
          <cell r="J247">
            <v>1.2160599571734475E-3</v>
          </cell>
        </row>
        <row r="248">
          <cell r="A248" t="str">
            <v>17.2.9</v>
          </cell>
          <cell r="B248" t="str">
            <v xml:space="preserve"> COM-M2023 </v>
          </cell>
          <cell r="C248" t="str">
            <v>Próprio</v>
          </cell>
          <cell r="D248" t="str">
            <v>CAIXA DE PASSAGEM 30X30X40CM COM TAMPA E DRENO DE BRITA PARA TELEFONE</v>
          </cell>
          <cell r="E248" t="str">
            <v>UN</v>
          </cell>
          <cell r="F248">
            <v>5</v>
          </cell>
          <cell r="G248">
            <v>154.57</v>
          </cell>
          <cell r="H248">
            <v>189.3</v>
          </cell>
          <cell r="I248">
            <v>946.5</v>
          </cell>
          <cell r="J248">
            <v>6.7558886509635975E-4</v>
          </cell>
        </row>
        <row r="249">
          <cell r="A249" t="str">
            <v>17.2.10</v>
          </cell>
          <cell r="B249" t="str">
            <v xml:space="preserve"> 91944 </v>
          </cell>
          <cell r="C249" t="str">
            <v>SINAPI</v>
          </cell>
          <cell r="D249" t="str">
            <v>CAIXA RETANGULAR 4" X 4" BAIXA (0,30 M DO PISO), PVC, INSTALADA EM PAREDE - FORNECIMENTO E INSTALAÇÃO. AF_03/2023</v>
          </cell>
          <cell r="E249" t="str">
            <v>UN</v>
          </cell>
          <cell r="F249">
            <v>5</v>
          </cell>
          <cell r="G249">
            <v>8.02</v>
          </cell>
          <cell r="H249">
            <v>9.82</v>
          </cell>
          <cell r="I249">
            <v>49.1</v>
          </cell>
          <cell r="J249">
            <v>3.5046395431834402E-5</v>
          </cell>
        </row>
        <row r="250">
          <cell r="A250" t="str">
            <v>17.2.11</v>
          </cell>
          <cell r="B250" t="str">
            <v xml:space="preserve"> 91941 </v>
          </cell>
          <cell r="C250" t="str">
            <v>SINAPI</v>
          </cell>
          <cell r="D250" t="str">
            <v>CAIXA RETANGULAR 4" X 2" BAIXA (0,30 M DO PISO), PVC, INSTALADA EM PAREDE - FORNECIMENTO E INSTALAÇÃO. AF_03/2023</v>
          </cell>
          <cell r="E250" t="str">
            <v>UN</v>
          </cell>
          <cell r="F250">
            <v>88</v>
          </cell>
          <cell r="G250">
            <v>6.77</v>
          </cell>
          <cell r="H250">
            <v>8.2899999999999991</v>
          </cell>
          <cell r="I250">
            <v>729.52</v>
          </cell>
          <cell r="J250">
            <v>5.2071377587437539E-4</v>
          </cell>
        </row>
        <row r="251">
          <cell r="A251" t="str">
            <v>17.2.12</v>
          </cell>
          <cell r="B251" t="str">
            <v xml:space="preserve"> 91937 </v>
          </cell>
          <cell r="C251" t="str">
            <v>SINAPI</v>
          </cell>
          <cell r="D251" t="str">
            <v>CAIXA OCTOGONAL 3" X 3", PVC, INSTALADA EM LAJE - FORNECIMENTO E INSTALAÇÃO. AF_03/2023</v>
          </cell>
          <cell r="E251" t="str">
            <v>UN</v>
          </cell>
          <cell r="F251">
            <v>147</v>
          </cell>
          <cell r="G251">
            <v>9.0500000000000007</v>
          </cell>
          <cell r="H251">
            <v>11.08</v>
          </cell>
          <cell r="I251">
            <v>1628.76</v>
          </cell>
          <cell r="J251">
            <v>1.1625695931477516E-3</v>
          </cell>
        </row>
        <row r="252">
          <cell r="A252" t="str">
            <v>17.2.13</v>
          </cell>
          <cell r="B252" t="str">
            <v xml:space="preserve"> C0671 </v>
          </cell>
          <cell r="C252" t="str">
            <v>SEINFRA</v>
          </cell>
          <cell r="D252" t="str">
            <v>CANALETA PLÁSTICA (110 X 20)MM, SISTEMA "X"</v>
          </cell>
          <cell r="E252" t="str">
            <v>M</v>
          </cell>
          <cell r="F252">
            <v>2</v>
          </cell>
          <cell r="G252">
            <v>47.9</v>
          </cell>
          <cell r="H252">
            <v>58.66</v>
          </cell>
          <cell r="I252">
            <v>117.32</v>
          </cell>
          <cell r="J252">
            <v>8.3740185581727335E-5</v>
          </cell>
        </row>
        <row r="253">
          <cell r="A253" t="str">
            <v xml:space="preserve"> 17.3 </v>
          </cell>
          <cell r="D253" t="str">
            <v>CABOS E FIOS CONDUTORES</v>
          </cell>
          <cell r="I253">
            <v>24117.040000000001</v>
          </cell>
          <cell r="J253">
            <v>1.721416131334761E-2</v>
          </cell>
        </row>
        <row r="254">
          <cell r="A254" t="str">
            <v>17.3.1</v>
          </cell>
          <cell r="B254" t="str">
            <v xml:space="preserve"> 91924 </v>
          </cell>
          <cell r="C254" t="str">
            <v>SINAPI</v>
          </cell>
          <cell r="D254" t="str">
            <v>CABO DE COBRE FLEXÍVEL ISOLADO, 1,5 MM², ANTI-CHAMA 450/750 V, PARA CIRCUITOS TERMINAIS - FORNECIMENTO E INSTALAÇÃO. AF_03/2023</v>
          </cell>
          <cell r="E254" t="str">
            <v>M</v>
          </cell>
          <cell r="F254">
            <v>1520</v>
          </cell>
          <cell r="G254">
            <v>1.97</v>
          </cell>
          <cell r="H254">
            <v>2.41</v>
          </cell>
          <cell r="I254">
            <v>3663.2</v>
          </cell>
          <cell r="J254">
            <v>2.6147037830121342E-3</v>
          </cell>
        </row>
        <row r="255">
          <cell r="A255" t="str">
            <v>17.3.2</v>
          </cell>
          <cell r="B255" t="str">
            <v xml:space="preserve"> 91926 </v>
          </cell>
          <cell r="C255" t="str">
            <v>SINAPI</v>
          </cell>
          <cell r="D255" t="str">
            <v>CABO DE COBRE FLEXÍVEL ISOLADO, 2,5 MM², ANTI-CHAMA 450/750 V, PARA CIRCUITOS TERMINAIS - FORNECIMENTO E INSTALAÇÃO. AF_03/2023</v>
          </cell>
          <cell r="E255" t="str">
            <v>M</v>
          </cell>
          <cell r="F255">
            <v>2357.1999999999998</v>
          </cell>
          <cell r="G255">
            <v>2.88</v>
          </cell>
          <cell r="H255">
            <v>3.52</v>
          </cell>
          <cell r="I255">
            <v>8297.34</v>
          </cell>
          <cell r="J255">
            <v>5.9224411134903643E-3</v>
          </cell>
        </row>
        <row r="256">
          <cell r="A256" t="str">
            <v>17.3.3</v>
          </cell>
          <cell r="B256" t="str">
            <v xml:space="preserve"> 101888 </v>
          </cell>
          <cell r="C256" t="str">
            <v>SINAPI</v>
          </cell>
          <cell r="D256" t="str">
            <v>CABO DE COBRE ISOLADO, 25 MM², ANTI-CHAMA 450/750 V, INSTALADO EM ELETROCALHA OU PERFILADO - FORNECIMENTO E INSTALAÇÃO. AF_10/2020</v>
          </cell>
          <cell r="E256" t="str">
            <v>M</v>
          </cell>
          <cell r="F256">
            <v>56.8</v>
          </cell>
          <cell r="G256">
            <v>16.5</v>
          </cell>
          <cell r="H256">
            <v>20.2</v>
          </cell>
          <cell r="I256">
            <v>1147.3599999999999</v>
          </cell>
          <cell r="J256">
            <v>8.1895788722341186E-4</v>
          </cell>
        </row>
        <row r="257">
          <cell r="A257" t="str">
            <v>17.3.4</v>
          </cell>
          <cell r="B257" t="str">
            <v xml:space="preserve"> 00039234 </v>
          </cell>
          <cell r="C257" t="str">
            <v>SINAPI</v>
          </cell>
          <cell r="D257" t="str">
            <v>CABO DE COBRE, FLEXIVEL, CLASSE 4 OU 5, ISOLACAO EM PVC/A, ANTICHAMA BWF-B, 1 CONDUTOR, 450/750 V, SECAO NOMINAL 50 MM2</v>
          </cell>
          <cell r="E257" t="str">
            <v>M</v>
          </cell>
          <cell r="F257">
            <v>113.6</v>
          </cell>
          <cell r="G257">
            <v>31.8</v>
          </cell>
          <cell r="H257">
            <v>38.94</v>
          </cell>
          <cell r="I257">
            <v>4423.58</v>
          </cell>
          <cell r="J257">
            <v>3.1574446823697359E-3</v>
          </cell>
        </row>
        <row r="258">
          <cell r="A258" t="str">
            <v>17.3.5</v>
          </cell>
          <cell r="B258" t="str">
            <v xml:space="preserve"> C0539 </v>
          </cell>
          <cell r="C258" t="str">
            <v>SEINFRA</v>
          </cell>
          <cell r="D258" t="str">
            <v>CABO ISOLADO PVC 750V 95MM2</v>
          </cell>
          <cell r="E258" t="str">
            <v>M</v>
          </cell>
          <cell r="F258">
            <v>12.9</v>
          </cell>
          <cell r="G258">
            <v>49.18</v>
          </cell>
          <cell r="H258">
            <v>60.23</v>
          </cell>
          <cell r="I258">
            <v>776.96</v>
          </cell>
          <cell r="J258">
            <v>5.5457530335474656E-4</v>
          </cell>
        </row>
        <row r="259">
          <cell r="A259" t="str">
            <v>17.3.6</v>
          </cell>
          <cell r="B259" t="str">
            <v xml:space="preserve"> C0526 </v>
          </cell>
          <cell r="C259" t="str">
            <v>SEINFRA</v>
          </cell>
          <cell r="D259" t="str">
            <v>CABO ISOLADO PVC 750V 150MM2</v>
          </cell>
          <cell r="E259" t="str">
            <v>M</v>
          </cell>
          <cell r="F259">
            <v>51.6</v>
          </cell>
          <cell r="G259">
            <v>78.02</v>
          </cell>
          <cell r="H259">
            <v>95.55</v>
          </cell>
          <cell r="I259">
            <v>4930.38</v>
          </cell>
          <cell r="J259">
            <v>3.5191862955032118E-3</v>
          </cell>
        </row>
        <row r="260">
          <cell r="A260" t="str">
            <v>17.3.7</v>
          </cell>
          <cell r="B260" t="str">
            <v xml:space="preserve"> 98281 </v>
          </cell>
          <cell r="C260" t="str">
            <v>SINAPI</v>
          </cell>
          <cell r="D260" t="str">
            <v>CABO TELEFÔNICO CCI-50 2 PARES, SEM BLINDAGEM, INSTALADO EM DISTRIBUIÇÃO DE EDIFICAÇÃO RESIDENCIAL - FORNECIMENTO E INSTALAÇÃO. AF_11/2019</v>
          </cell>
          <cell r="E260" t="str">
            <v>M</v>
          </cell>
          <cell r="F260">
            <v>52.6</v>
          </cell>
          <cell r="G260">
            <v>5.48</v>
          </cell>
          <cell r="H260">
            <v>6.71</v>
          </cell>
          <cell r="I260">
            <v>352.94</v>
          </cell>
          <cell r="J260">
            <v>2.5192005710206997E-4</v>
          </cell>
        </row>
        <row r="261">
          <cell r="A261" t="str">
            <v>17.3.8</v>
          </cell>
          <cell r="B261" t="str">
            <v xml:space="preserve"> C0560 </v>
          </cell>
          <cell r="C261" t="str">
            <v>SEINFRA</v>
          </cell>
          <cell r="D261" t="str">
            <v>CABO TELEFÔNICO CCE - 2</v>
          </cell>
          <cell r="E261" t="str">
            <v>M</v>
          </cell>
          <cell r="F261">
            <v>53.6</v>
          </cell>
          <cell r="G261">
            <v>8.01</v>
          </cell>
          <cell r="H261">
            <v>9.8000000000000007</v>
          </cell>
          <cell r="I261">
            <v>525.28</v>
          </cell>
          <cell r="J261">
            <v>3.7493219129193435E-4</v>
          </cell>
        </row>
        <row r="262">
          <cell r="A262" t="str">
            <v xml:space="preserve"> 17.4 </v>
          </cell>
          <cell r="D262" t="str">
            <v>ILUMINAÇÃO E TOMADAS</v>
          </cell>
          <cell r="I262">
            <v>12008.46</v>
          </cell>
          <cell r="J262">
            <v>8.5713490364025691E-3</v>
          </cell>
        </row>
        <row r="263">
          <cell r="A263" t="str">
            <v>17.4.1</v>
          </cell>
          <cell r="B263" t="str">
            <v xml:space="preserve"> 92000 </v>
          </cell>
          <cell r="C263" t="str">
            <v>SINAPI</v>
          </cell>
          <cell r="D263" t="str">
            <v>TOMADA BAIXA DE EMBUTIR (1 MÓDULO), 2P+T 10 A, INCLUINDO SUPORTE E PLACA - FORNECIMENTO E INSTALAÇÃO. AF_03/2023</v>
          </cell>
          <cell r="E263" t="str">
            <v>UN</v>
          </cell>
          <cell r="F263">
            <v>56</v>
          </cell>
          <cell r="G263">
            <v>20.29</v>
          </cell>
          <cell r="H263">
            <v>24.84</v>
          </cell>
          <cell r="I263">
            <v>1391.04</v>
          </cell>
          <cell r="J263">
            <v>9.9289079229122066E-4</v>
          </cell>
        </row>
        <row r="264">
          <cell r="A264" t="str">
            <v>17.4.2</v>
          </cell>
          <cell r="B264" t="str">
            <v xml:space="preserve"> 92001 </v>
          </cell>
          <cell r="C264" t="str">
            <v>SINAPI</v>
          </cell>
          <cell r="D264" t="str">
            <v>TOMADA BAIXA DE EMBUTIR (1 MÓDULO), 2P+T 20 A, INCLUINDO SUPORTE E PLACA - FORNECIMENTO E INSTALAÇÃO. AF_03/2023</v>
          </cell>
          <cell r="E264" t="str">
            <v>UN</v>
          </cell>
          <cell r="F264">
            <v>4</v>
          </cell>
          <cell r="G264">
            <v>21.73</v>
          </cell>
          <cell r="H264">
            <v>26.61</v>
          </cell>
          <cell r="I264">
            <v>106.44</v>
          </cell>
          <cell r="J264">
            <v>7.5974304068522478E-5</v>
          </cell>
        </row>
        <row r="265">
          <cell r="A265" t="str">
            <v>17.4.3</v>
          </cell>
          <cell r="B265" t="str">
            <v xml:space="preserve"> 91953 </v>
          </cell>
          <cell r="C265" t="str">
            <v>SINAPI</v>
          </cell>
          <cell r="D265" t="str">
            <v>INTERRUPTOR SIMPLES (1 MÓDULO), 10A/250V, INCLUINDO SUPORTE E PLACA - FORNECIMENTO E INSTALAÇÃO. AF_03/2023</v>
          </cell>
          <cell r="E265" t="str">
            <v>UN</v>
          </cell>
          <cell r="F265">
            <v>7</v>
          </cell>
          <cell r="G265">
            <v>19.34</v>
          </cell>
          <cell r="H265">
            <v>23.68</v>
          </cell>
          <cell r="I265">
            <v>165.76</v>
          </cell>
          <cell r="J265">
            <v>1.1831548893647394E-4</v>
          </cell>
        </row>
        <row r="266">
          <cell r="A266" t="str">
            <v>17.4.4</v>
          </cell>
          <cell r="B266" t="str">
            <v xml:space="preserve"> 91959 </v>
          </cell>
          <cell r="C266" t="str">
            <v>SINAPI</v>
          </cell>
          <cell r="D266" t="str">
            <v>INTERRUPTOR SIMPLES (2 MÓDULOS), 10A/250V, INCLUINDO SUPORTE E PLACA - FORNECIMENTO E INSTALAÇÃO. AF_03/2023</v>
          </cell>
          <cell r="E266" t="str">
            <v>UN</v>
          </cell>
          <cell r="F266">
            <v>1</v>
          </cell>
          <cell r="G266">
            <v>29.48</v>
          </cell>
          <cell r="H266">
            <v>36.1</v>
          </cell>
          <cell r="I266">
            <v>36.1</v>
          </cell>
          <cell r="J266">
            <v>2.5767309064953605E-5</v>
          </cell>
        </row>
        <row r="267">
          <cell r="A267" t="str">
            <v>17.4.5</v>
          </cell>
          <cell r="B267" t="str">
            <v xml:space="preserve"> 91967 </v>
          </cell>
          <cell r="C267" t="str">
            <v>SINAPI</v>
          </cell>
          <cell r="D267" t="str">
            <v>INTERRUPTOR SIMPLES (3 MÓDULOS), 10A/250V, INCLUINDO SUPORTE E PLACA - FORNECIMENTO E INSTALAÇÃO. AF_03/2023</v>
          </cell>
          <cell r="E267" t="str">
            <v>UN</v>
          </cell>
          <cell r="F267">
            <v>11</v>
          </cell>
          <cell r="G267">
            <v>39.619999999999997</v>
          </cell>
          <cell r="H267">
            <v>48.52</v>
          </cell>
          <cell r="I267">
            <v>533.72</v>
          </cell>
          <cell r="J267">
            <v>3.809564596716631E-4</v>
          </cell>
        </row>
        <row r="268">
          <cell r="A268" t="str">
            <v>17.4.6</v>
          </cell>
          <cell r="B268" t="str">
            <v xml:space="preserve"> 92023 </v>
          </cell>
          <cell r="C268" t="str">
            <v>SINAPI</v>
          </cell>
          <cell r="D268" t="str">
            <v>INTERRUPTOR SIMPLES (1 MÓDULO) COM 1 TOMADA DE EMBUTIR 2P+T 10 A, INCLUINDO SUPORTE E PLACA - FORNECIMENTO E INSTALAÇÃO. AF_03/2023</v>
          </cell>
          <cell r="E268" t="str">
            <v>UN</v>
          </cell>
          <cell r="F268">
            <v>3</v>
          </cell>
          <cell r="G268">
            <v>32.89</v>
          </cell>
          <cell r="H268">
            <v>40.28</v>
          </cell>
          <cell r="I268">
            <v>120.84</v>
          </cell>
          <cell r="J268">
            <v>8.6252676659528905E-5</v>
          </cell>
        </row>
        <row r="269">
          <cell r="A269" t="str">
            <v>17.4.7</v>
          </cell>
          <cell r="B269" t="str">
            <v xml:space="preserve"> C2298 </v>
          </cell>
          <cell r="C269" t="str">
            <v>SEINFRA</v>
          </cell>
          <cell r="D269" t="str">
            <v>TAMPA CEGA PLÁSTICA, SISTEMA "X"</v>
          </cell>
          <cell r="E269" t="str">
            <v>UN</v>
          </cell>
          <cell r="F269">
            <v>7</v>
          </cell>
          <cell r="G269">
            <v>9.89</v>
          </cell>
          <cell r="H269">
            <v>12.11</v>
          </cell>
          <cell r="I269">
            <v>84.77</v>
          </cell>
          <cell r="J269">
            <v>6.0506780870806567E-5</v>
          </cell>
        </row>
        <row r="270">
          <cell r="A270" t="str">
            <v>17.4.8</v>
          </cell>
          <cell r="B270" t="str">
            <v xml:space="preserve"> C1638 </v>
          </cell>
          <cell r="C270" t="str">
            <v>SEINFRA</v>
          </cell>
          <cell r="D270" t="str">
            <v>LUMINÁRIA FLUORESCENTE COMPLETA (2 X 32)W</v>
          </cell>
          <cell r="E270" t="str">
            <v>UN</v>
          </cell>
          <cell r="F270">
            <v>74</v>
          </cell>
          <cell r="G270">
            <v>86.64</v>
          </cell>
          <cell r="H270">
            <v>106.1</v>
          </cell>
          <cell r="I270">
            <v>7851.4</v>
          </cell>
          <cell r="J270">
            <v>5.6041399000713778E-3</v>
          </cell>
        </row>
        <row r="271">
          <cell r="A271" t="str">
            <v>17.4.9</v>
          </cell>
          <cell r="B271" t="str">
            <v xml:space="preserve"> C1661 </v>
          </cell>
          <cell r="C271" t="str">
            <v>SEINFRA</v>
          </cell>
          <cell r="D271" t="str">
            <v>LUMINÁRIA FLUORESCENTE COMPLETA ( 2 X 16 )W</v>
          </cell>
          <cell r="E271" t="str">
            <v>UN</v>
          </cell>
          <cell r="F271">
            <v>3</v>
          </cell>
          <cell r="G271">
            <v>77.400000000000006</v>
          </cell>
          <cell r="H271">
            <v>94.79</v>
          </cell>
          <cell r="I271">
            <v>284.37</v>
          </cell>
          <cell r="J271">
            <v>2.0297644539614561E-4</v>
          </cell>
        </row>
        <row r="272">
          <cell r="A272" t="str">
            <v>17.4.10</v>
          </cell>
          <cell r="B272" t="str">
            <v xml:space="preserve"> C2045 </v>
          </cell>
          <cell r="C272" t="str">
            <v>SEINFRA</v>
          </cell>
          <cell r="D272" t="str">
            <v>PROJETOR EM ALUMÍNIO, C/ LÂMPADA DE VAPOR METÁLICO E FOTOCÉLULA ATÉ 400W</v>
          </cell>
          <cell r="E272" t="str">
            <v>UN</v>
          </cell>
          <cell r="F272">
            <v>3</v>
          </cell>
          <cell r="G272">
            <v>289.17</v>
          </cell>
          <cell r="H272">
            <v>354.14</v>
          </cell>
          <cell r="I272">
            <v>1062.42</v>
          </cell>
          <cell r="J272">
            <v>7.5832976445396147E-4</v>
          </cell>
        </row>
        <row r="273">
          <cell r="A273" t="str">
            <v>17.4.11</v>
          </cell>
          <cell r="B273" t="str">
            <v xml:space="preserve"> 98307 </v>
          </cell>
          <cell r="C273" t="str">
            <v>SINAPI</v>
          </cell>
          <cell r="D273" t="str">
            <v>TOMADA DE REDE RJ45 - FORNECIMENTO E INSTALAÇÃO. AF_11/2019</v>
          </cell>
          <cell r="E273" t="str">
            <v>UN</v>
          </cell>
          <cell r="F273">
            <v>10</v>
          </cell>
          <cell r="G273">
            <v>30.35</v>
          </cell>
          <cell r="H273">
            <v>37.159999999999997</v>
          </cell>
          <cell r="I273">
            <v>371.6</v>
          </cell>
          <cell r="J273">
            <v>2.652391149179158E-4</v>
          </cell>
        </row>
        <row r="274">
          <cell r="A274" t="str">
            <v xml:space="preserve"> 18 </v>
          </cell>
          <cell r="D274" t="str">
            <v>SISTEMA DE PROTEÇÃO CONTRA DESCARGAS ATMOSFÉRICAS</v>
          </cell>
          <cell r="I274">
            <v>47328.87</v>
          </cell>
          <cell r="J274">
            <v>3.3782205567451817E-2</v>
          </cell>
        </row>
        <row r="275">
          <cell r="A275" t="str">
            <v>18.1</v>
          </cell>
          <cell r="B275" t="str">
            <v xml:space="preserve"> 96989 </v>
          </cell>
          <cell r="C275" t="str">
            <v>SINAPI</v>
          </cell>
          <cell r="D275" t="str">
            <v>CAPTOR TIPO FRANKLIN PARA SPDA - FORNECIMENTO E INSTALAÇÃO. AF_12/2017</v>
          </cell>
          <cell r="E275" t="str">
            <v>UN</v>
          </cell>
          <cell r="F275">
            <v>1</v>
          </cell>
          <cell r="G275">
            <v>55.44</v>
          </cell>
          <cell r="H275">
            <v>67.89</v>
          </cell>
          <cell r="I275">
            <v>67.89</v>
          </cell>
          <cell r="J275">
            <v>4.8458244111349037E-5</v>
          </cell>
        </row>
        <row r="276">
          <cell r="A276" t="str">
            <v>18.2</v>
          </cell>
          <cell r="B276" t="str">
            <v xml:space="preserve"> C3478 </v>
          </cell>
          <cell r="C276" t="str">
            <v>SEINFRA</v>
          </cell>
          <cell r="D276" t="str">
            <v>VERGALHÃO ROSCA TOTAL DE 3/8"</v>
          </cell>
          <cell r="E276" t="str">
            <v>M</v>
          </cell>
          <cell r="F276">
            <v>26</v>
          </cell>
          <cell r="G276">
            <v>9.01</v>
          </cell>
          <cell r="H276">
            <v>11.03</v>
          </cell>
          <cell r="I276">
            <v>286.77999999999997</v>
          </cell>
          <cell r="J276">
            <v>2.0469664525339044E-4</v>
          </cell>
        </row>
        <row r="277">
          <cell r="A277" t="str">
            <v>18.3</v>
          </cell>
          <cell r="B277" t="str">
            <v xml:space="preserve"> 98463 </v>
          </cell>
          <cell r="C277" t="str">
            <v>SINAPI</v>
          </cell>
          <cell r="D277" t="str">
            <v>SUPORTE ISOLADOR PARA CORDOALHA DE COBRE - FORNECIMENTO E INSTALAÇÃO. AF_12/2017</v>
          </cell>
          <cell r="E277" t="str">
            <v>UN</v>
          </cell>
          <cell r="F277">
            <v>26</v>
          </cell>
          <cell r="G277">
            <v>13.84</v>
          </cell>
          <cell r="H277">
            <v>16.940000000000001</v>
          </cell>
          <cell r="I277">
            <v>440.44</v>
          </cell>
          <cell r="J277">
            <v>3.143754461099215E-4</v>
          </cell>
        </row>
        <row r="278">
          <cell r="A278" t="str">
            <v>18.4</v>
          </cell>
          <cell r="B278" t="str">
            <v xml:space="preserve"> 9051 </v>
          </cell>
          <cell r="C278" t="str">
            <v>ORSE</v>
          </cell>
          <cell r="D278" t="str">
            <v>Caixa de equalização p/aterramento 20x20x10cm de sobrepor p/11 terminais de pressão c/barramento</v>
          </cell>
          <cell r="E278" t="str">
            <v>un</v>
          </cell>
          <cell r="F278">
            <v>1</v>
          </cell>
          <cell r="G278">
            <v>251.72</v>
          </cell>
          <cell r="H278">
            <v>308.27999999999997</v>
          </cell>
          <cell r="I278">
            <v>308.27999999999997</v>
          </cell>
          <cell r="J278">
            <v>2.2004282655246253E-4</v>
          </cell>
        </row>
        <row r="279">
          <cell r="A279" t="str">
            <v>18.5</v>
          </cell>
          <cell r="B279" t="str">
            <v xml:space="preserve"> 96985 </v>
          </cell>
          <cell r="C279" t="str">
            <v>SINAPI</v>
          </cell>
          <cell r="D279" t="str">
            <v>HASTE DE ATERRAMENTO 5/8  PARA SPDA - FORNECIMENTO E INSTALAÇÃO. AF_12/2017</v>
          </cell>
          <cell r="E279" t="str">
            <v>UN</v>
          </cell>
          <cell r="F279">
            <v>26</v>
          </cell>
          <cell r="G279">
            <v>55.81</v>
          </cell>
          <cell r="H279">
            <v>68.349999999999994</v>
          </cell>
          <cell r="I279">
            <v>1777.1</v>
          </cell>
          <cell r="J279">
            <v>1.2684511063526052E-3</v>
          </cell>
        </row>
        <row r="280">
          <cell r="A280" t="str">
            <v>18.6</v>
          </cell>
          <cell r="B280" t="str">
            <v xml:space="preserve"> 96973 </v>
          </cell>
          <cell r="C280" t="str">
            <v>SINAPI</v>
          </cell>
          <cell r="D280" t="str">
            <v>CORDOALHA DE COBRE NU 35 MM², NÃO ENTERRADA, COM ISOLADOR - FORNECIMENTO E INSTALAÇÃO. AF_12/2017</v>
          </cell>
          <cell r="E280" t="str">
            <v>M</v>
          </cell>
          <cell r="F280">
            <v>449.2</v>
          </cell>
          <cell r="G280">
            <v>41.99</v>
          </cell>
          <cell r="H280">
            <v>51.42</v>
          </cell>
          <cell r="I280">
            <v>23097.86</v>
          </cell>
          <cell r="J280">
            <v>1.6486695217701641E-2</v>
          </cell>
        </row>
        <row r="281">
          <cell r="A281" t="str">
            <v>18.7</v>
          </cell>
          <cell r="B281" t="str">
            <v xml:space="preserve"> 96974 </v>
          </cell>
          <cell r="C281" t="str">
            <v>SINAPI</v>
          </cell>
          <cell r="D281" t="str">
            <v>CORDOALHA DE COBRE NU 50 MM², NÃO ENTERRADA, COM ISOLADOR - FORNECIMENTO E INSTALAÇÃO. AF_12/2017</v>
          </cell>
          <cell r="E281" t="str">
            <v>M</v>
          </cell>
          <cell r="F281">
            <v>305.2</v>
          </cell>
          <cell r="G281">
            <v>55.7</v>
          </cell>
          <cell r="H281">
            <v>68.209999999999994</v>
          </cell>
          <cell r="I281">
            <v>20817.689999999999</v>
          </cell>
          <cell r="J281">
            <v>1.485916488222698E-2</v>
          </cell>
        </row>
        <row r="282">
          <cell r="A282" t="str">
            <v>18.8</v>
          </cell>
          <cell r="B282" t="str">
            <v xml:space="preserve"> 98111 </v>
          </cell>
          <cell r="C282" t="str">
            <v>SINAPI</v>
          </cell>
          <cell r="D282" t="str">
            <v>CAIXA DE INSPEÇÃO PARA ATERRAMENTO, CIRCULAR, EM POLIETILENO, DIÂMETRO INTERNO = 0,3 M. AF_12/2020</v>
          </cell>
          <cell r="E282" t="str">
            <v>UN</v>
          </cell>
          <cell r="F282">
            <v>5</v>
          </cell>
          <cell r="G282">
            <v>32.119999999999997</v>
          </cell>
          <cell r="H282">
            <v>39.33</v>
          </cell>
          <cell r="I282">
            <v>196.65</v>
          </cell>
          <cell r="J282">
            <v>1.4036402569593147E-4</v>
          </cell>
        </row>
        <row r="283">
          <cell r="A283" t="str">
            <v>18.9</v>
          </cell>
          <cell r="B283" t="str">
            <v xml:space="preserve"> C2457 </v>
          </cell>
          <cell r="C283" t="str">
            <v>SEINFRA</v>
          </cell>
          <cell r="D283" t="str">
            <v>TERMINAL DE PRESSÃO P/ CABOS ATÉ 35MM2</v>
          </cell>
          <cell r="E283" t="str">
            <v>UN</v>
          </cell>
          <cell r="F283">
            <v>26</v>
          </cell>
          <cell r="G283">
            <v>10.56</v>
          </cell>
          <cell r="H283">
            <v>12.93</v>
          </cell>
          <cell r="I283">
            <v>336.18</v>
          </cell>
          <cell r="J283">
            <v>2.3995717344753748E-4</v>
          </cell>
        </row>
        <row r="284">
          <cell r="A284" t="str">
            <v xml:space="preserve"> 19 </v>
          </cell>
          <cell r="D284" t="str">
            <v>SERVIÇOS COMPLEMENTARES</v>
          </cell>
          <cell r="I284">
            <v>56091.17</v>
          </cell>
          <cell r="J284">
            <v>4.0036523911491789E-2</v>
          </cell>
        </row>
        <row r="285">
          <cell r="A285" t="str">
            <v xml:space="preserve"> 19.1 </v>
          </cell>
          <cell r="D285" t="str">
            <v>GERAL</v>
          </cell>
          <cell r="I285">
            <v>11911.26</v>
          </cell>
          <cell r="J285">
            <v>8.5019700214132767E-3</v>
          </cell>
        </row>
        <row r="286">
          <cell r="A286" t="str">
            <v>19.1.1</v>
          </cell>
          <cell r="B286" t="str">
            <v xml:space="preserve"> C4068 </v>
          </cell>
          <cell r="C286" t="str">
            <v>SEINFRA</v>
          </cell>
          <cell r="D286" t="str">
            <v>BANCADA DE GRANITO CINZA E=2cm</v>
          </cell>
          <cell r="E286" t="str">
            <v>m²</v>
          </cell>
          <cell r="F286">
            <v>12.22</v>
          </cell>
          <cell r="G286">
            <v>248.95</v>
          </cell>
          <cell r="H286">
            <v>304.88</v>
          </cell>
          <cell r="I286">
            <v>3725.63</v>
          </cell>
          <cell r="J286">
            <v>2.6592648108493934E-3</v>
          </cell>
        </row>
        <row r="287">
          <cell r="A287" t="str">
            <v>19.1.2</v>
          </cell>
          <cell r="B287" t="str">
            <v xml:space="preserve"> C4068 </v>
          </cell>
          <cell r="C287" t="str">
            <v>SEINFRA</v>
          </cell>
          <cell r="D287" t="str">
            <v>BANCADA DE GRANITO CINZA E=2cm</v>
          </cell>
          <cell r="E287" t="str">
            <v>m²</v>
          </cell>
          <cell r="F287">
            <v>3.5</v>
          </cell>
          <cell r="G287">
            <v>248.95</v>
          </cell>
          <cell r="H287">
            <v>304.88</v>
          </cell>
          <cell r="I287">
            <v>1067.08</v>
          </cell>
          <cell r="J287">
            <v>7.6165596002855098E-4</v>
          </cell>
        </row>
        <row r="288">
          <cell r="A288" t="str">
            <v>19.1.3</v>
          </cell>
          <cell r="B288" t="str">
            <v xml:space="preserve"> C1869 </v>
          </cell>
          <cell r="C288" t="str">
            <v>SEINFRA</v>
          </cell>
          <cell r="D288" t="str">
            <v>PEITORIL DE GRANITO L= 15 cm</v>
          </cell>
          <cell r="E288" t="str">
            <v>M</v>
          </cell>
          <cell r="F288">
            <v>71.3</v>
          </cell>
          <cell r="G288">
            <v>64.959999999999994</v>
          </cell>
          <cell r="H288">
            <v>79.55</v>
          </cell>
          <cell r="I288">
            <v>5671.91</v>
          </cell>
          <cell r="J288">
            <v>4.0484725196288365E-3</v>
          </cell>
        </row>
        <row r="289">
          <cell r="A289" t="str">
            <v>19.1.4</v>
          </cell>
          <cell r="B289" t="str">
            <v xml:space="preserve"> C1960 </v>
          </cell>
          <cell r="C289" t="str">
            <v>SEINFRA</v>
          </cell>
          <cell r="D289" t="str">
            <v>PORTA COMPENSADO P/ARMÁRIO SOB PIA</v>
          </cell>
          <cell r="E289" t="str">
            <v>m²</v>
          </cell>
          <cell r="F289">
            <v>6.55</v>
          </cell>
          <cell r="G289">
            <v>148.33000000000001</v>
          </cell>
          <cell r="H289">
            <v>181.65</v>
          </cell>
          <cell r="I289">
            <v>1189.8</v>
          </cell>
          <cell r="J289">
            <v>8.4925053533190583E-4</v>
          </cell>
        </row>
        <row r="290">
          <cell r="A290" t="str">
            <v>19.1.5</v>
          </cell>
          <cell r="B290" t="str">
            <v xml:space="preserve"> C2910 </v>
          </cell>
          <cell r="C290" t="str">
            <v>SEINFRA</v>
          </cell>
          <cell r="D290" t="str">
            <v>PRATELEIRA DE MADEIRA DE LEI PLAINADA</v>
          </cell>
          <cell r="E290" t="str">
            <v>m²</v>
          </cell>
          <cell r="F290">
            <v>1.9</v>
          </cell>
          <cell r="G290">
            <v>110.38</v>
          </cell>
          <cell r="H290">
            <v>135.18</v>
          </cell>
          <cell r="I290">
            <v>256.83999999999997</v>
          </cell>
          <cell r="J290">
            <v>1.8332619557458958E-4</v>
          </cell>
        </row>
        <row r="291">
          <cell r="A291" t="str">
            <v xml:space="preserve"> 19.2 </v>
          </cell>
          <cell r="D291" t="str">
            <v>ESQUADRIAS, PORTÃO E GRADIL METÁLICO</v>
          </cell>
          <cell r="I291">
            <v>44179.91</v>
          </cell>
          <cell r="J291">
            <v>3.1534553890078518E-2</v>
          </cell>
        </row>
        <row r="292">
          <cell r="A292" t="str">
            <v>19.2.1</v>
          </cell>
          <cell r="B292" t="str">
            <v xml:space="preserve"> C0864 </v>
          </cell>
          <cell r="C292" t="str">
            <v>SEINFRA</v>
          </cell>
          <cell r="D292" t="str">
            <v>CONJUNTO DE MASTRO P/ TRÊS BANDEIRAS E PEDESTAL</v>
          </cell>
          <cell r="E292" t="str">
            <v>UN</v>
          </cell>
          <cell r="F292">
            <v>1</v>
          </cell>
          <cell r="G292">
            <v>2835.72</v>
          </cell>
          <cell r="H292">
            <v>3472.9</v>
          </cell>
          <cell r="I292">
            <v>3472.9</v>
          </cell>
          <cell r="J292">
            <v>2.4788722341184868E-3</v>
          </cell>
        </row>
        <row r="293">
          <cell r="A293" t="str">
            <v>19.2.2</v>
          </cell>
          <cell r="B293" t="str">
            <v xml:space="preserve"> C4646 </v>
          </cell>
          <cell r="C293" t="str">
            <v>SEINFRA</v>
          </cell>
          <cell r="D293" t="str">
            <v>CORRIMÃO DUPLA ALTURA EM AÇO INOX DIAM 1 1/2</v>
          </cell>
          <cell r="E293" t="str">
            <v>M</v>
          </cell>
          <cell r="F293">
            <v>14</v>
          </cell>
          <cell r="G293">
            <v>300.27</v>
          </cell>
          <cell r="H293">
            <v>367.74</v>
          </cell>
          <cell r="I293">
            <v>5148.3599999999997</v>
          </cell>
          <cell r="J293">
            <v>3.6747751605995718E-3</v>
          </cell>
        </row>
        <row r="294">
          <cell r="A294" t="str">
            <v>19.2.3</v>
          </cell>
          <cell r="B294" t="str">
            <v xml:space="preserve"> 98504 </v>
          </cell>
          <cell r="C294" t="str">
            <v>SINAPI</v>
          </cell>
          <cell r="D294" t="str">
            <v>PLANTIO DE GRAMA BATATAIS EM PLACAS. AF_05/2018</v>
          </cell>
          <cell r="E294" t="str">
            <v>m²</v>
          </cell>
          <cell r="F294">
            <v>90.96</v>
          </cell>
          <cell r="G294">
            <v>11.41</v>
          </cell>
          <cell r="H294">
            <v>13.97</v>
          </cell>
          <cell r="I294">
            <v>1270.71</v>
          </cell>
          <cell r="J294">
            <v>9.0700214132762318E-4</v>
          </cell>
        </row>
        <row r="295">
          <cell r="A295" t="str">
            <v>19.2.4</v>
          </cell>
          <cell r="B295" t="str">
            <v xml:space="preserve"> C0036 </v>
          </cell>
          <cell r="C295" t="str">
            <v>SEINFRA</v>
          </cell>
          <cell r="D295" t="str">
            <v>ALAMBRADO C/TELA DE ARAME GALVANIZADO.. ALTURA 2M</v>
          </cell>
          <cell r="E295" t="str">
            <v>M</v>
          </cell>
          <cell r="F295">
            <v>143.19999999999999</v>
          </cell>
          <cell r="G295">
            <v>102.61</v>
          </cell>
          <cell r="H295">
            <v>125.66</v>
          </cell>
          <cell r="I295">
            <v>17994.509999999998</v>
          </cell>
          <cell r="J295">
            <v>1.284404710920771E-2</v>
          </cell>
        </row>
        <row r="296">
          <cell r="A296" t="str">
            <v>19.2.5</v>
          </cell>
          <cell r="B296" t="str">
            <v xml:space="preserve"> 91341 </v>
          </cell>
          <cell r="C296" t="str">
            <v>SINAPI</v>
          </cell>
          <cell r="D296" t="str">
            <v>PORTA EM ALUMÍNIO DE ABRIR TIPO VENEZIANA COM GUARNIÇÃO, FIXAÇÃO COM PARAFUSOS - FORNECIMENTO E INSTALAÇÃO. AF_12/2019</v>
          </cell>
          <cell r="E296" t="str">
            <v>m²</v>
          </cell>
          <cell r="F296">
            <v>5.27</v>
          </cell>
          <cell r="G296">
            <v>667.29</v>
          </cell>
          <cell r="H296">
            <v>817.23</v>
          </cell>
          <cell r="I296">
            <v>4306.8</v>
          </cell>
          <cell r="J296">
            <v>3.0740899357601715E-3</v>
          </cell>
        </row>
        <row r="297">
          <cell r="A297" t="str">
            <v>19.2.6</v>
          </cell>
          <cell r="B297" t="str">
            <v xml:space="preserve"> 12980 </v>
          </cell>
          <cell r="C297" t="str">
            <v>ORSE</v>
          </cell>
          <cell r="D297" t="str">
            <v>Portão  em tubo de ferro galvanizado de 2", de abrir, duas folhas, de 2,00 x 2,00m, tela malha revestida 76 x 76mm, n.º 12,  inclusive dobradiças e trancas/ferrolho</v>
          </cell>
          <cell r="E297" t="str">
            <v>m²</v>
          </cell>
          <cell r="F297">
            <v>4.9000000000000004</v>
          </cell>
          <cell r="G297">
            <v>549.16</v>
          </cell>
          <cell r="H297">
            <v>672.55</v>
          </cell>
          <cell r="I297">
            <v>3295.49</v>
          </cell>
          <cell r="J297">
            <v>2.3522412562455388E-3</v>
          </cell>
        </row>
        <row r="298">
          <cell r="A298" t="str">
            <v>19.2.7</v>
          </cell>
          <cell r="B298" t="str">
            <v xml:space="preserve"> 12013 </v>
          </cell>
          <cell r="C298" t="str">
            <v>ORSE</v>
          </cell>
          <cell r="D298" t="str">
            <v>Portão de correr em chapa de aço 1/4", c/ quadro em tubo quadrado de 2", barra quadrada 1" na vertical e barra chata 2" x 1/4" na horizontal, inclusive ferrolho, e roldanas e trilhos,  p/ penitenciária</v>
          </cell>
          <cell r="E298" t="str">
            <v>m²</v>
          </cell>
          <cell r="F298">
            <v>5.43</v>
          </cell>
          <cell r="G298">
            <v>1306.92</v>
          </cell>
          <cell r="H298">
            <v>1600.58</v>
          </cell>
          <cell r="I298">
            <v>8691.14</v>
          </cell>
          <cell r="J298">
            <v>6.2035260528194146E-3</v>
          </cell>
        </row>
        <row r="299">
          <cell r="A299" t="str">
            <v xml:space="preserve"> 20 </v>
          </cell>
          <cell r="D299" t="str">
            <v>SERVIÇOS FINAIS</v>
          </cell>
          <cell r="I299">
            <v>3754.85</v>
          </cell>
          <cell r="J299">
            <v>2.6801213418986437E-3</v>
          </cell>
        </row>
        <row r="300">
          <cell r="A300" t="str">
            <v>20.1</v>
          </cell>
          <cell r="B300" t="str">
            <v xml:space="preserve"> 99803 </v>
          </cell>
          <cell r="C300" t="str">
            <v>SINAPI</v>
          </cell>
          <cell r="D300" t="str">
            <v>LIMPEZA DE PISO CERÂMICO OU PORCELANATO COM PANO ÚMIDO. AF_04/2019</v>
          </cell>
          <cell r="E300" t="str">
            <v>m²</v>
          </cell>
          <cell r="F300">
            <v>1129.6400000000001</v>
          </cell>
          <cell r="G300">
            <v>1.38</v>
          </cell>
          <cell r="H300">
            <v>1.69</v>
          </cell>
          <cell r="I300">
            <v>1909.09</v>
          </cell>
          <cell r="J300">
            <v>1.3626623840114205E-3</v>
          </cell>
        </row>
        <row r="301">
          <cell r="A301" t="str">
            <v>20.2</v>
          </cell>
          <cell r="B301" t="str">
            <v xml:space="preserve"> 3167 </v>
          </cell>
          <cell r="C301" t="str">
            <v>ORSE</v>
          </cell>
          <cell r="D301" t="str">
            <v>Placa de inauguração de obra em alumínio 0,60 x 0,80 m</v>
          </cell>
          <cell r="E301" t="str">
            <v>un</v>
          </cell>
          <cell r="F301">
            <v>1</v>
          </cell>
          <cell r="G301">
            <v>1507.12</v>
          </cell>
          <cell r="H301">
            <v>1845.76</v>
          </cell>
          <cell r="I301">
            <v>1845.76</v>
          </cell>
          <cell r="J301">
            <v>1.3174589578872234E-3</v>
          </cell>
        </row>
        <row r="302">
          <cell r="F302" t="str">
            <v>Total sem BDI</v>
          </cell>
          <cell r="I302">
            <v>1144136.95</v>
          </cell>
        </row>
        <row r="303">
          <cell r="F303" t="str">
            <v>Total do BDI</v>
          </cell>
          <cell r="I303">
            <v>256863.05</v>
          </cell>
        </row>
        <row r="304">
          <cell r="F304" t="str">
            <v>Total Geral</v>
          </cell>
          <cell r="I304">
            <v>1401000</v>
          </cell>
        </row>
        <row r="305">
          <cell r="H305">
            <v>1401000</v>
          </cell>
        </row>
      </sheetData>
      <sheetData sheetId="1" refreshError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001"/>
  <sheetViews>
    <sheetView view="pageBreakPreview" zoomScale="85" zoomScaleNormal="55" zoomScaleSheetLayoutView="85" workbookViewId="0">
      <selection activeCell="I6" sqref="I6"/>
    </sheetView>
  </sheetViews>
  <sheetFormatPr defaultColWidth="12.59765625" defaultRowHeight="15" customHeight="1" x14ac:dyDescent="0.25"/>
  <cols>
    <col min="1" max="1" width="8.3984375" style="95" customWidth="1"/>
    <col min="2" max="2" width="8.59765625" customWidth="1"/>
    <col min="3" max="3" width="9.5" customWidth="1"/>
    <col min="4" max="4" width="62" customWidth="1"/>
    <col min="5" max="5" width="6.59765625" customWidth="1"/>
    <col min="6" max="6" width="8.3984375" customWidth="1"/>
    <col min="7" max="7" width="10.8984375" customWidth="1"/>
    <col min="8" max="8" width="11.19921875" customWidth="1"/>
    <col min="9" max="9" width="12.19921875" customWidth="1"/>
    <col min="10" max="10" width="8" customWidth="1"/>
    <col min="11" max="11" width="13.19921875" hidden="1" customWidth="1"/>
    <col min="12" max="12" width="12.3984375" hidden="1" customWidth="1"/>
    <col min="13" max="14" width="10.19921875" hidden="1" customWidth="1"/>
    <col min="15" max="15" width="10.19921875" customWidth="1"/>
    <col min="16" max="16" width="12.5" style="40" customWidth="1"/>
    <col min="17" max="18" width="12.5" customWidth="1"/>
    <col min="19" max="19" width="10.19921875" customWidth="1"/>
    <col min="20" max="20" width="21.09765625" style="40" customWidth="1"/>
    <col min="21" max="21" width="10.19921875" customWidth="1"/>
    <col min="22" max="22" width="11.8984375" style="40" customWidth="1"/>
    <col min="23" max="23" width="12.5" customWidth="1"/>
    <col min="24" max="24" width="12.5" style="51" customWidth="1"/>
    <col min="25" max="25" width="10.19921875" customWidth="1"/>
    <col min="26" max="26" width="24.8984375" style="40" customWidth="1"/>
    <col min="27" max="27" width="10.19921875" customWidth="1"/>
    <col min="28" max="28" width="10.19921875" style="40" customWidth="1"/>
    <col min="29" max="29" width="10.19921875" customWidth="1"/>
    <col min="30" max="30" width="10.19921875" style="40" customWidth="1"/>
    <col min="31" max="31" width="12.5" customWidth="1"/>
    <col min="32" max="32" width="12.5" style="51" customWidth="1"/>
    <col min="33" max="33" width="10.19921875" customWidth="1"/>
    <col min="34" max="34" width="21.3984375" style="40" customWidth="1"/>
    <col min="35" max="35" width="10.19921875" customWidth="1"/>
    <col min="36" max="36" width="10.19921875" style="40" customWidth="1"/>
    <col min="37" max="37" width="10.19921875" customWidth="1"/>
    <col min="38" max="38" width="10.19921875" style="40" customWidth="1"/>
    <col min="39" max="39" width="12.5" customWidth="1"/>
    <col min="40" max="40" width="12.5" style="51" customWidth="1"/>
    <col min="41" max="41" width="10.19921875" customWidth="1"/>
    <col min="42" max="42" width="20.5" style="40" customWidth="1"/>
    <col min="43" max="54" width="8.59765625" customWidth="1"/>
  </cols>
  <sheetData>
    <row r="1" spans="1:42" ht="14.25" customHeight="1" x14ac:dyDescent="0.25">
      <c r="A1" s="88"/>
      <c r="B1" s="1"/>
      <c r="C1" s="1"/>
      <c r="D1" s="1" t="s">
        <v>0</v>
      </c>
      <c r="E1" s="388" t="s">
        <v>1</v>
      </c>
      <c r="F1" s="389"/>
      <c r="G1" s="388" t="s">
        <v>2</v>
      </c>
      <c r="H1" s="389"/>
      <c r="I1" s="388" t="s">
        <v>3</v>
      </c>
      <c r="J1" s="389"/>
      <c r="K1" s="4"/>
      <c r="L1" s="4"/>
      <c r="M1" s="4"/>
      <c r="N1" s="4"/>
      <c r="O1" s="4"/>
      <c r="P1" s="34"/>
      <c r="Q1" s="4"/>
      <c r="R1" s="4"/>
      <c r="S1" s="4"/>
      <c r="T1" s="34"/>
      <c r="U1" s="4"/>
      <c r="V1" s="34"/>
      <c r="W1" s="4"/>
      <c r="X1" s="45"/>
      <c r="Y1" s="4"/>
      <c r="Z1" s="34"/>
      <c r="AA1" s="4"/>
      <c r="AB1" s="34"/>
      <c r="AC1" s="4"/>
      <c r="AD1" s="34"/>
      <c r="AE1" s="4"/>
      <c r="AF1" s="45"/>
      <c r="AG1" s="4"/>
      <c r="AH1" s="34"/>
      <c r="AI1" s="4"/>
      <c r="AJ1" s="34"/>
      <c r="AK1" s="4"/>
      <c r="AL1" s="34"/>
      <c r="AM1" s="4"/>
      <c r="AN1" s="45"/>
      <c r="AO1" s="4"/>
      <c r="AP1" s="34"/>
    </row>
    <row r="2" spans="1:42" ht="97.5" customHeight="1" x14ac:dyDescent="0.25">
      <c r="A2" s="89"/>
      <c r="B2" s="2"/>
      <c r="C2" s="2"/>
      <c r="D2" s="2" t="s">
        <v>4</v>
      </c>
      <c r="E2" s="390" t="s">
        <v>5</v>
      </c>
      <c r="F2" s="389"/>
      <c r="G2" s="390" t="s">
        <v>6</v>
      </c>
      <c r="H2" s="389"/>
      <c r="I2" s="391" t="s">
        <v>7</v>
      </c>
      <c r="J2" s="392"/>
      <c r="K2" s="4"/>
      <c r="L2" s="4"/>
      <c r="M2" s="4"/>
      <c r="N2" s="4"/>
      <c r="O2" s="4"/>
      <c r="P2" s="34"/>
      <c r="Q2" s="4"/>
      <c r="R2" s="4"/>
      <c r="S2" s="4"/>
      <c r="T2" s="34"/>
      <c r="U2" s="4"/>
      <c r="V2" s="34"/>
      <c r="W2" s="4"/>
      <c r="X2" s="45"/>
      <c r="Y2" s="4"/>
      <c r="Z2" s="34"/>
      <c r="AA2" s="4"/>
      <c r="AB2" s="34"/>
      <c r="AC2" s="4"/>
      <c r="AD2" s="34"/>
      <c r="AE2" s="4"/>
      <c r="AF2" s="45"/>
      <c r="AG2" s="4"/>
      <c r="AH2" s="34"/>
      <c r="AI2" s="4"/>
      <c r="AJ2" s="34"/>
      <c r="AL2" s="34"/>
      <c r="AM2" s="4"/>
      <c r="AN2" s="45"/>
      <c r="AO2" s="4"/>
      <c r="AP2" s="34"/>
    </row>
    <row r="3" spans="1:42" ht="14.25" customHeight="1" x14ac:dyDescent="0.25">
      <c r="A3" s="393" t="s">
        <v>8</v>
      </c>
      <c r="B3" s="394"/>
      <c r="C3" s="394"/>
      <c r="D3" s="394"/>
      <c r="E3" s="394"/>
      <c r="F3" s="394"/>
      <c r="G3" s="394"/>
      <c r="H3" s="394"/>
      <c r="I3" s="394"/>
      <c r="J3" s="389"/>
      <c r="K3" s="4"/>
      <c r="L3" s="4"/>
      <c r="M3" s="4"/>
      <c r="N3" s="4"/>
      <c r="O3" s="402" t="s">
        <v>572</v>
      </c>
      <c r="P3" s="402"/>
      <c r="Q3" s="402"/>
      <c r="R3" s="402"/>
      <c r="S3" s="402"/>
      <c r="T3" s="403"/>
      <c r="U3" s="404" t="s">
        <v>573</v>
      </c>
      <c r="V3" s="404"/>
      <c r="W3" s="404"/>
      <c r="X3" s="404"/>
      <c r="Y3" s="404"/>
      <c r="Z3" s="404"/>
      <c r="AA3" s="405" t="s">
        <v>575</v>
      </c>
      <c r="AB3" s="406"/>
      <c r="AC3" s="406"/>
      <c r="AD3" s="406"/>
      <c r="AE3" s="406"/>
      <c r="AF3" s="406"/>
      <c r="AG3" s="406"/>
      <c r="AH3" s="406"/>
      <c r="AI3" s="407" t="s">
        <v>576</v>
      </c>
      <c r="AJ3" s="408"/>
      <c r="AK3" s="408"/>
      <c r="AL3" s="408"/>
      <c r="AM3" s="408"/>
      <c r="AN3" s="408"/>
      <c r="AO3" s="408"/>
      <c r="AP3" s="408"/>
    </row>
    <row r="4" spans="1:42" ht="34.200000000000003" customHeight="1" x14ac:dyDescent="0.25">
      <c r="A4" s="90" t="s">
        <v>9</v>
      </c>
      <c r="B4" s="6" t="s">
        <v>10</v>
      </c>
      <c r="C4" s="5" t="s">
        <v>11</v>
      </c>
      <c r="D4" s="5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26" t="s">
        <v>18</v>
      </c>
      <c r="K4" s="188" t="s">
        <v>956</v>
      </c>
      <c r="L4" s="188" t="s">
        <v>957</v>
      </c>
      <c r="M4" s="184" t="s">
        <v>958</v>
      </c>
      <c r="N4" s="184" t="s">
        <v>959</v>
      </c>
      <c r="O4" s="398" t="s">
        <v>566</v>
      </c>
      <c r="P4" s="401"/>
      <c r="Q4" s="398" t="s">
        <v>569</v>
      </c>
      <c r="R4" s="398"/>
      <c r="S4" s="399" t="s">
        <v>570</v>
      </c>
      <c r="T4" s="400"/>
      <c r="U4" s="398" t="s">
        <v>566</v>
      </c>
      <c r="V4" s="401"/>
      <c r="W4" s="398" t="s">
        <v>569</v>
      </c>
      <c r="X4" s="398"/>
      <c r="Y4" s="399" t="s">
        <v>570</v>
      </c>
      <c r="Z4" s="400"/>
      <c r="AA4" s="398" t="s">
        <v>565</v>
      </c>
      <c r="AB4" s="398"/>
      <c r="AC4" s="398" t="s">
        <v>566</v>
      </c>
      <c r="AD4" s="401"/>
      <c r="AE4" s="398" t="s">
        <v>569</v>
      </c>
      <c r="AF4" s="398"/>
      <c r="AG4" s="399" t="s">
        <v>570</v>
      </c>
      <c r="AH4" s="400"/>
      <c r="AI4" s="398" t="s">
        <v>565</v>
      </c>
      <c r="AJ4" s="398"/>
      <c r="AK4" s="398" t="s">
        <v>566</v>
      </c>
      <c r="AL4" s="401"/>
      <c r="AM4" s="398" t="s">
        <v>569</v>
      </c>
      <c r="AN4" s="398"/>
      <c r="AO4" s="399" t="s">
        <v>570</v>
      </c>
      <c r="AP4" s="400"/>
    </row>
    <row r="5" spans="1:42" ht="14.25" customHeight="1" x14ac:dyDescent="0.25">
      <c r="A5" s="91"/>
      <c r="B5" s="8"/>
      <c r="C5" s="8"/>
      <c r="D5" s="8"/>
      <c r="E5" s="8"/>
      <c r="F5" s="9"/>
      <c r="G5" s="8"/>
      <c r="H5" s="8"/>
      <c r="I5" s="10"/>
      <c r="J5" s="27"/>
      <c r="K5" s="185"/>
      <c r="L5" s="185"/>
      <c r="M5" s="185"/>
      <c r="N5" s="185"/>
      <c r="O5" s="31" t="s">
        <v>567</v>
      </c>
      <c r="P5" s="42" t="s">
        <v>568</v>
      </c>
      <c r="Q5" s="24" t="s">
        <v>571</v>
      </c>
      <c r="R5" s="23" t="s">
        <v>574</v>
      </c>
      <c r="S5" s="33" t="s">
        <v>571</v>
      </c>
      <c r="T5" s="35" t="s">
        <v>568</v>
      </c>
      <c r="U5" s="31" t="s">
        <v>567</v>
      </c>
      <c r="V5" s="42" t="s">
        <v>568</v>
      </c>
      <c r="W5" s="41" t="s">
        <v>571</v>
      </c>
      <c r="X5" s="46" t="s">
        <v>574</v>
      </c>
      <c r="Y5" s="33" t="s">
        <v>571</v>
      </c>
      <c r="Z5" s="35" t="s">
        <v>568</v>
      </c>
      <c r="AA5" s="31" t="s">
        <v>567</v>
      </c>
      <c r="AB5" s="42" t="s">
        <v>568</v>
      </c>
      <c r="AC5" s="31" t="s">
        <v>567</v>
      </c>
      <c r="AD5" s="42" t="s">
        <v>568</v>
      </c>
      <c r="AE5" s="41" t="s">
        <v>571</v>
      </c>
      <c r="AF5" s="46" t="s">
        <v>574</v>
      </c>
      <c r="AG5" s="33" t="s">
        <v>571</v>
      </c>
      <c r="AH5" s="35" t="s">
        <v>568</v>
      </c>
      <c r="AI5" s="31" t="s">
        <v>567</v>
      </c>
      <c r="AJ5" s="42" t="s">
        <v>568</v>
      </c>
      <c r="AK5" s="31" t="s">
        <v>567</v>
      </c>
      <c r="AL5" s="42" t="s">
        <v>568</v>
      </c>
      <c r="AM5" s="41" t="s">
        <v>571</v>
      </c>
      <c r="AN5" s="46" t="s">
        <v>574</v>
      </c>
      <c r="AO5" s="33" t="s">
        <v>571</v>
      </c>
      <c r="AP5" s="35" t="s">
        <v>568</v>
      </c>
    </row>
    <row r="6" spans="1:42" ht="14.25" customHeight="1" x14ac:dyDescent="0.25">
      <c r="A6" s="91" t="s">
        <v>19</v>
      </c>
      <c r="B6" s="8"/>
      <c r="C6" s="8"/>
      <c r="D6" s="8" t="s">
        <v>20</v>
      </c>
      <c r="E6" s="8"/>
      <c r="F6" s="9"/>
      <c r="G6" s="8"/>
      <c r="H6" s="8"/>
      <c r="I6" s="10">
        <v>73151.73</v>
      </c>
      <c r="J6" s="27">
        <v>5.2213940042826555E-2</v>
      </c>
      <c r="K6" s="185"/>
      <c r="L6" s="185"/>
      <c r="M6" s="185"/>
      <c r="N6" s="185"/>
      <c r="O6" s="31"/>
      <c r="P6" s="42">
        <f>SUM(P7:P16)</f>
        <v>53166.7</v>
      </c>
      <c r="Q6" s="24"/>
      <c r="R6" s="23"/>
      <c r="S6" s="33"/>
      <c r="T6" s="35">
        <f>SUM(T7:T16)</f>
        <v>19985.034</v>
      </c>
      <c r="U6" s="31"/>
      <c r="V6" s="42"/>
      <c r="W6" s="41"/>
      <c r="X6" s="46"/>
      <c r="Y6" s="33"/>
      <c r="Z6" s="35">
        <f>SUM(Z7:Z16)</f>
        <v>2684.7390000000009</v>
      </c>
      <c r="AA6" s="31"/>
      <c r="AB6" s="42"/>
      <c r="AC6" s="31"/>
      <c r="AD6" s="42"/>
      <c r="AE6" s="41"/>
      <c r="AF6" s="46"/>
      <c r="AG6" s="33"/>
      <c r="AH6" s="35">
        <f>SUM(AH7:AH16)</f>
        <v>2684.7390000000009</v>
      </c>
      <c r="AI6" s="31"/>
      <c r="AJ6" s="42"/>
      <c r="AK6" s="31"/>
      <c r="AL6" s="42"/>
      <c r="AM6" s="41"/>
      <c r="AN6" s="46"/>
      <c r="AO6" s="33"/>
      <c r="AP6" s="35">
        <f>SUM(AP7:AP16)</f>
        <v>-28325.690999999999</v>
      </c>
    </row>
    <row r="7" spans="1:42" ht="14.25" customHeight="1" x14ac:dyDescent="0.25">
      <c r="A7" s="92" t="s">
        <v>597</v>
      </c>
      <c r="B7" s="12" t="s">
        <v>21</v>
      </c>
      <c r="C7" s="11" t="s">
        <v>22</v>
      </c>
      <c r="D7" s="11" t="s">
        <v>23</v>
      </c>
      <c r="E7" s="13" t="s">
        <v>24</v>
      </c>
      <c r="F7" s="12">
        <v>10</v>
      </c>
      <c r="G7" s="14">
        <v>254.25</v>
      </c>
      <c r="H7" s="14">
        <v>311.37</v>
      </c>
      <c r="I7" s="14">
        <v>3113.7</v>
      </c>
      <c r="J7" s="28">
        <v>2.2224839400428265E-3</v>
      </c>
      <c r="K7" s="186"/>
      <c r="L7" s="186"/>
      <c r="M7" s="186"/>
      <c r="N7" s="186"/>
      <c r="O7" s="52">
        <v>10</v>
      </c>
      <c r="P7" s="43">
        <f>O7*H7</f>
        <v>3113.7</v>
      </c>
      <c r="Q7" s="30">
        <f>O7</f>
        <v>10</v>
      </c>
      <c r="R7" s="25">
        <f t="shared" ref="R7:R16" si="0">Q7/F7</f>
        <v>1</v>
      </c>
      <c r="S7" s="30">
        <f t="shared" ref="S7:S16" si="1">F7-Q7</f>
        <v>0</v>
      </c>
      <c r="T7" s="36">
        <f t="shared" ref="T7:T16" si="2">S7*H7</f>
        <v>0</v>
      </c>
      <c r="U7" s="30"/>
      <c r="V7" s="43">
        <f t="shared" ref="V7:V16" si="3">U7*H7</f>
        <v>0</v>
      </c>
      <c r="W7" s="30">
        <f t="shared" ref="W7:W16" si="4">Q7+U7</f>
        <v>10</v>
      </c>
      <c r="X7" s="47">
        <f t="shared" ref="X7:X16" si="5">W7/$F$8</f>
        <v>5.6818181818181816E-2</v>
      </c>
      <c r="Y7" s="30">
        <f t="shared" ref="Y7:Y21" si="6">F7-W7</f>
        <v>0</v>
      </c>
      <c r="Z7" s="36">
        <f t="shared" ref="Z7:Z16" si="7">Y7*H7</f>
        <v>0</v>
      </c>
      <c r="AA7" s="52"/>
      <c r="AB7" s="43">
        <f t="shared" ref="AB7:AB16" si="8">AA7*H7</f>
        <v>0</v>
      </c>
      <c r="AC7" s="30"/>
      <c r="AD7" s="43"/>
      <c r="AE7" s="30">
        <f t="shared" ref="AE7:AE16" si="9">W7+AC7</f>
        <v>10</v>
      </c>
      <c r="AF7" s="47">
        <f t="shared" ref="AF7:AF16" si="10">AE7/$F$8</f>
        <v>5.6818181818181816E-2</v>
      </c>
      <c r="AG7" s="30">
        <f t="shared" ref="AG7:AG21" si="11">F7-AE7</f>
        <v>0</v>
      </c>
      <c r="AH7" s="36">
        <f t="shared" ref="AH7:AH16" si="12">AG7*H7</f>
        <v>0</v>
      </c>
      <c r="AI7" s="52"/>
      <c r="AJ7" s="43">
        <f t="shared" ref="AJ7:AJ16" si="13">AI7*T7</f>
        <v>0</v>
      </c>
      <c r="AK7" s="30"/>
      <c r="AL7" s="43"/>
      <c r="AM7" s="30">
        <f t="shared" ref="AM7:AM16" si="14">AE7+AK7</f>
        <v>10</v>
      </c>
      <c r="AN7" s="47">
        <f t="shared" ref="AN7:AN21" si="15">AM7/$F$8</f>
        <v>5.6818181818181816E-2</v>
      </c>
      <c r="AO7" s="30">
        <f t="shared" ref="AO7:AO21" si="16">F7-AM7</f>
        <v>0</v>
      </c>
      <c r="AP7" s="36">
        <f t="shared" ref="AP7:AP16" si="17">AO7*H7</f>
        <v>0</v>
      </c>
    </row>
    <row r="8" spans="1:42" ht="14.25" customHeight="1" x14ac:dyDescent="0.25">
      <c r="A8" s="92" t="s">
        <v>600</v>
      </c>
      <c r="B8" s="12" t="s">
        <v>25</v>
      </c>
      <c r="C8" s="11" t="s">
        <v>26</v>
      </c>
      <c r="D8" s="11" t="s">
        <v>27</v>
      </c>
      <c r="E8" s="13" t="s">
        <v>24</v>
      </c>
      <c r="F8" s="12">
        <v>176</v>
      </c>
      <c r="G8" s="14">
        <v>75.78</v>
      </c>
      <c r="H8" s="14">
        <v>92.8</v>
      </c>
      <c r="I8" s="14">
        <v>16332.8</v>
      </c>
      <c r="J8" s="28">
        <v>1.1657958600999286E-2</v>
      </c>
      <c r="K8" s="186"/>
      <c r="L8" s="186"/>
      <c r="M8" s="186"/>
      <c r="N8" s="186"/>
      <c r="O8" s="52">
        <v>176</v>
      </c>
      <c r="P8" s="43">
        <f t="shared" ref="P8:P16" si="18">O8*H8</f>
        <v>16332.8</v>
      </c>
      <c r="Q8" s="30">
        <f>O8</f>
        <v>176</v>
      </c>
      <c r="R8" s="25">
        <f t="shared" si="0"/>
        <v>1</v>
      </c>
      <c r="S8" s="30">
        <f t="shared" si="1"/>
        <v>0</v>
      </c>
      <c r="T8" s="36">
        <f t="shared" si="2"/>
        <v>0</v>
      </c>
      <c r="U8" s="30"/>
      <c r="V8" s="43">
        <f t="shared" si="3"/>
        <v>0</v>
      </c>
      <c r="W8" s="30">
        <f t="shared" si="4"/>
        <v>176</v>
      </c>
      <c r="X8" s="47">
        <f t="shared" si="5"/>
        <v>1</v>
      </c>
      <c r="Y8" s="30">
        <f t="shared" si="6"/>
        <v>0</v>
      </c>
      <c r="Z8" s="36">
        <f t="shared" si="7"/>
        <v>0</v>
      </c>
      <c r="AA8" s="52"/>
      <c r="AB8" s="43">
        <f t="shared" si="8"/>
        <v>0</v>
      </c>
      <c r="AC8" s="30"/>
      <c r="AD8" s="43"/>
      <c r="AE8" s="30">
        <f t="shared" si="9"/>
        <v>176</v>
      </c>
      <c r="AF8" s="47">
        <f t="shared" si="10"/>
        <v>1</v>
      </c>
      <c r="AG8" s="30">
        <f t="shared" si="11"/>
        <v>0</v>
      </c>
      <c r="AH8" s="36">
        <f t="shared" si="12"/>
        <v>0</v>
      </c>
      <c r="AI8" s="52"/>
      <c r="AJ8" s="43">
        <f t="shared" si="13"/>
        <v>0</v>
      </c>
      <c r="AK8" s="30"/>
      <c r="AL8" s="43"/>
      <c r="AM8" s="30">
        <f t="shared" si="14"/>
        <v>176</v>
      </c>
      <c r="AN8" s="47">
        <f t="shared" si="15"/>
        <v>1</v>
      </c>
      <c r="AO8" s="30">
        <f t="shared" si="16"/>
        <v>0</v>
      </c>
      <c r="AP8" s="36">
        <f t="shared" si="17"/>
        <v>0</v>
      </c>
    </row>
    <row r="9" spans="1:42" ht="14.25" customHeight="1" x14ac:dyDescent="0.25">
      <c r="A9" s="92" t="s">
        <v>598</v>
      </c>
      <c r="B9" s="12" t="s">
        <v>28</v>
      </c>
      <c r="C9" s="11" t="s">
        <v>29</v>
      </c>
      <c r="D9" s="11" t="s">
        <v>30</v>
      </c>
      <c r="E9" s="13" t="s">
        <v>31</v>
      </c>
      <c r="F9" s="12">
        <v>1</v>
      </c>
      <c r="G9" s="14">
        <v>931.54</v>
      </c>
      <c r="H9" s="14">
        <v>1140.8499999999999</v>
      </c>
      <c r="I9" s="14">
        <v>1140.8499999999999</v>
      </c>
      <c r="J9" s="28">
        <v>8.1431120628122774E-4</v>
      </c>
      <c r="K9" s="186"/>
      <c r="L9" s="186"/>
      <c r="M9" s="186"/>
      <c r="N9" s="186"/>
      <c r="O9" s="52"/>
      <c r="P9" s="43">
        <f t="shared" si="18"/>
        <v>0</v>
      </c>
      <c r="Q9" s="30">
        <f t="shared" ref="Q9:Q16" si="19">O9</f>
        <v>0</v>
      </c>
      <c r="R9" s="25">
        <f t="shared" si="0"/>
        <v>0</v>
      </c>
      <c r="S9" s="30">
        <f t="shared" si="1"/>
        <v>1</v>
      </c>
      <c r="T9" s="36">
        <f t="shared" si="2"/>
        <v>1140.8499999999999</v>
      </c>
      <c r="U9" s="30">
        <v>1</v>
      </c>
      <c r="V9" s="43">
        <f t="shared" si="3"/>
        <v>1140.8499999999999</v>
      </c>
      <c r="W9" s="30">
        <f t="shared" si="4"/>
        <v>1</v>
      </c>
      <c r="X9" s="47">
        <f t="shared" si="5"/>
        <v>5.681818181818182E-3</v>
      </c>
      <c r="Y9" s="30">
        <f t="shared" si="6"/>
        <v>0</v>
      </c>
      <c r="Z9" s="36">
        <f t="shared" si="7"/>
        <v>0</v>
      </c>
      <c r="AA9" s="52"/>
      <c r="AB9" s="43">
        <f t="shared" si="8"/>
        <v>0</v>
      </c>
      <c r="AC9" s="30"/>
      <c r="AD9" s="43"/>
      <c r="AE9" s="30">
        <f t="shared" si="9"/>
        <v>1</v>
      </c>
      <c r="AF9" s="47">
        <f t="shared" si="10"/>
        <v>5.681818181818182E-3</v>
      </c>
      <c r="AG9" s="30">
        <f t="shared" si="11"/>
        <v>0</v>
      </c>
      <c r="AH9" s="36">
        <f t="shared" si="12"/>
        <v>0</v>
      </c>
      <c r="AI9" s="52"/>
      <c r="AJ9" s="43">
        <f t="shared" si="13"/>
        <v>0</v>
      </c>
      <c r="AK9" s="30"/>
      <c r="AL9" s="43"/>
      <c r="AM9" s="30">
        <f t="shared" si="14"/>
        <v>1</v>
      </c>
      <c r="AN9" s="47">
        <f t="shared" si="15"/>
        <v>5.681818181818182E-3</v>
      </c>
      <c r="AO9" s="30">
        <f t="shared" si="16"/>
        <v>0</v>
      </c>
      <c r="AP9" s="36">
        <f t="shared" si="17"/>
        <v>0</v>
      </c>
    </row>
    <row r="10" spans="1:42" ht="39" customHeight="1" x14ac:dyDescent="0.25">
      <c r="A10" s="92" t="s">
        <v>601</v>
      </c>
      <c r="B10" s="12" t="s">
        <v>32</v>
      </c>
      <c r="C10" s="11" t="s">
        <v>26</v>
      </c>
      <c r="D10" s="11" t="s">
        <v>33</v>
      </c>
      <c r="E10" s="13" t="s">
        <v>31</v>
      </c>
      <c r="F10" s="12">
        <v>1</v>
      </c>
      <c r="G10" s="14">
        <v>3683.51</v>
      </c>
      <c r="H10" s="14">
        <v>4511.1899999999996</v>
      </c>
      <c r="I10" s="14">
        <v>4511.1899999999996</v>
      </c>
      <c r="J10" s="28">
        <v>3.2199785867237686E-3</v>
      </c>
      <c r="K10" s="186"/>
      <c r="L10" s="186"/>
      <c r="M10" s="186"/>
      <c r="N10" s="186"/>
      <c r="O10" s="30"/>
      <c r="P10" s="43">
        <f t="shared" si="18"/>
        <v>0</v>
      </c>
      <c r="Q10" s="30">
        <f t="shared" si="19"/>
        <v>0</v>
      </c>
      <c r="R10" s="25">
        <f t="shared" si="0"/>
        <v>0</v>
      </c>
      <c r="S10" s="30">
        <f t="shared" si="1"/>
        <v>1</v>
      </c>
      <c r="T10" s="36">
        <f t="shared" si="2"/>
        <v>4511.1899999999996</v>
      </c>
      <c r="U10" s="30">
        <v>1</v>
      </c>
      <c r="V10" s="43">
        <f t="shared" si="3"/>
        <v>4511.1899999999996</v>
      </c>
      <c r="W10" s="30">
        <f t="shared" si="4"/>
        <v>1</v>
      </c>
      <c r="X10" s="47">
        <f t="shared" si="5"/>
        <v>5.681818181818182E-3</v>
      </c>
      <c r="Y10" s="30">
        <f t="shared" si="6"/>
        <v>0</v>
      </c>
      <c r="Z10" s="36">
        <f t="shared" si="7"/>
        <v>0</v>
      </c>
      <c r="AA10" s="52"/>
      <c r="AB10" s="43">
        <f t="shared" si="8"/>
        <v>0</v>
      </c>
      <c r="AC10" s="30"/>
      <c r="AD10" s="43"/>
      <c r="AE10" s="30">
        <f t="shared" si="9"/>
        <v>1</v>
      </c>
      <c r="AF10" s="47">
        <f t="shared" si="10"/>
        <v>5.681818181818182E-3</v>
      </c>
      <c r="AG10" s="30">
        <f t="shared" si="11"/>
        <v>0</v>
      </c>
      <c r="AH10" s="36">
        <f t="shared" si="12"/>
        <v>0</v>
      </c>
      <c r="AI10" s="52"/>
      <c r="AJ10" s="43">
        <f t="shared" si="13"/>
        <v>0</v>
      </c>
      <c r="AK10" s="30">
        <v>2</v>
      </c>
      <c r="AL10" s="43"/>
      <c r="AM10" s="30">
        <f t="shared" si="14"/>
        <v>3</v>
      </c>
      <c r="AN10" s="47">
        <f t="shared" si="15"/>
        <v>1.7045454545454544E-2</v>
      </c>
      <c r="AO10" s="30">
        <f t="shared" si="16"/>
        <v>-2</v>
      </c>
      <c r="AP10" s="36">
        <f t="shared" si="17"/>
        <v>-9022.3799999999992</v>
      </c>
    </row>
    <row r="11" spans="1:42" ht="14.25" customHeight="1" x14ac:dyDescent="0.25">
      <c r="A11" s="92" t="s">
        <v>599</v>
      </c>
      <c r="B11" s="12" t="s">
        <v>34</v>
      </c>
      <c r="C11" s="11" t="s">
        <v>29</v>
      </c>
      <c r="D11" s="11" t="s">
        <v>35</v>
      </c>
      <c r="E11" s="13" t="s">
        <v>31</v>
      </c>
      <c r="F11" s="12">
        <v>1</v>
      </c>
      <c r="G11" s="14">
        <v>3590.77</v>
      </c>
      <c r="H11" s="14">
        <v>4397.6099999999997</v>
      </c>
      <c r="I11" s="14">
        <v>4397.6099999999997</v>
      </c>
      <c r="J11" s="28">
        <v>3.1389079229122057E-3</v>
      </c>
      <c r="K11" s="186"/>
      <c r="L11" s="186"/>
      <c r="M11" s="186"/>
      <c r="N11" s="186"/>
      <c r="O11" s="30"/>
      <c r="P11" s="43">
        <f t="shared" si="18"/>
        <v>0</v>
      </c>
      <c r="Q11" s="30">
        <f t="shared" si="19"/>
        <v>0</v>
      </c>
      <c r="R11" s="25">
        <f t="shared" si="0"/>
        <v>0</v>
      </c>
      <c r="S11" s="30">
        <f t="shared" si="1"/>
        <v>1</v>
      </c>
      <c r="T11" s="36">
        <f t="shared" si="2"/>
        <v>4397.6099999999997</v>
      </c>
      <c r="U11" s="30">
        <v>1</v>
      </c>
      <c r="V11" s="43">
        <f t="shared" si="3"/>
        <v>4397.6099999999997</v>
      </c>
      <c r="W11" s="30">
        <f t="shared" si="4"/>
        <v>1</v>
      </c>
      <c r="X11" s="47">
        <f t="shared" si="5"/>
        <v>5.681818181818182E-3</v>
      </c>
      <c r="Y11" s="30">
        <f t="shared" si="6"/>
        <v>0</v>
      </c>
      <c r="Z11" s="36">
        <f t="shared" si="7"/>
        <v>0</v>
      </c>
      <c r="AA11" s="52"/>
      <c r="AB11" s="43">
        <f t="shared" si="8"/>
        <v>0</v>
      </c>
      <c r="AC11" s="30"/>
      <c r="AD11" s="43"/>
      <c r="AE11" s="30">
        <f t="shared" si="9"/>
        <v>1</v>
      </c>
      <c r="AF11" s="47">
        <f t="shared" si="10"/>
        <v>5.681818181818182E-3</v>
      </c>
      <c r="AG11" s="30">
        <f t="shared" si="11"/>
        <v>0</v>
      </c>
      <c r="AH11" s="36">
        <f t="shared" si="12"/>
        <v>0</v>
      </c>
      <c r="AI11" s="52"/>
      <c r="AJ11" s="43">
        <f t="shared" si="13"/>
        <v>0</v>
      </c>
      <c r="AK11" s="30">
        <v>5</v>
      </c>
      <c r="AL11" s="43"/>
      <c r="AM11" s="30">
        <f t="shared" si="14"/>
        <v>6</v>
      </c>
      <c r="AN11" s="47">
        <f t="shared" si="15"/>
        <v>3.4090909090909088E-2</v>
      </c>
      <c r="AO11" s="30">
        <f t="shared" si="16"/>
        <v>-5</v>
      </c>
      <c r="AP11" s="36">
        <f t="shared" si="17"/>
        <v>-21988.05</v>
      </c>
    </row>
    <row r="12" spans="1:42" ht="39" customHeight="1" x14ac:dyDescent="0.25">
      <c r="A12" s="92" t="s">
        <v>602</v>
      </c>
      <c r="B12" s="12" t="s">
        <v>36</v>
      </c>
      <c r="C12" s="11" t="s">
        <v>26</v>
      </c>
      <c r="D12" s="11" t="s">
        <v>37</v>
      </c>
      <c r="E12" s="13" t="s">
        <v>24</v>
      </c>
      <c r="F12" s="12">
        <v>2.52</v>
      </c>
      <c r="G12" s="14">
        <v>679.04</v>
      </c>
      <c r="H12" s="14">
        <v>831.62</v>
      </c>
      <c r="I12" s="14">
        <v>2095.6799999999998</v>
      </c>
      <c r="J12" s="28">
        <v>1.4958458244111348E-3</v>
      </c>
      <c r="K12" s="186"/>
      <c r="L12" s="186"/>
      <c r="M12" s="186"/>
      <c r="N12" s="186"/>
      <c r="O12" s="30"/>
      <c r="P12" s="43">
        <f t="shared" si="18"/>
        <v>0</v>
      </c>
      <c r="Q12" s="30">
        <f t="shared" si="19"/>
        <v>0</v>
      </c>
      <c r="R12" s="25">
        <f t="shared" si="0"/>
        <v>0</v>
      </c>
      <c r="S12" s="30">
        <f t="shared" si="1"/>
        <v>2.52</v>
      </c>
      <c r="T12" s="36">
        <f t="shared" si="2"/>
        <v>2095.6824000000001</v>
      </c>
      <c r="U12" s="30">
        <v>2.52</v>
      </c>
      <c r="V12" s="43">
        <f t="shared" si="3"/>
        <v>2095.6824000000001</v>
      </c>
      <c r="W12" s="30">
        <f t="shared" si="4"/>
        <v>2.52</v>
      </c>
      <c r="X12" s="47">
        <f t="shared" si="5"/>
        <v>1.4318181818181818E-2</v>
      </c>
      <c r="Y12" s="30">
        <f t="shared" si="6"/>
        <v>0</v>
      </c>
      <c r="Z12" s="36">
        <f t="shared" si="7"/>
        <v>0</v>
      </c>
      <c r="AA12" s="52"/>
      <c r="AB12" s="43">
        <f t="shared" si="8"/>
        <v>0</v>
      </c>
      <c r="AC12" s="30"/>
      <c r="AD12" s="43"/>
      <c r="AE12" s="30">
        <f t="shared" si="9"/>
        <v>2.52</v>
      </c>
      <c r="AF12" s="47">
        <f t="shared" si="10"/>
        <v>1.4318181818181818E-2</v>
      </c>
      <c r="AG12" s="30">
        <f t="shared" si="11"/>
        <v>0</v>
      </c>
      <c r="AH12" s="36">
        <f t="shared" si="12"/>
        <v>0</v>
      </c>
      <c r="AI12" s="52"/>
      <c r="AJ12" s="43">
        <f t="shared" si="13"/>
        <v>0</v>
      </c>
      <c r="AK12" s="30"/>
      <c r="AL12" s="43"/>
      <c r="AM12" s="30">
        <f t="shared" si="14"/>
        <v>2.52</v>
      </c>
      <c r="AN12" s="47">
        <f t="shared" si="15"/>
        <v>1.4318181818181818E-2</v>
      </c>
      <c r="AO12" s="30">
        <f t="shared" si="16"/>
        <v>0</v>
      </c>
      <c r="AP12" s="36">
        <f t="shared" si="17"/>
        <v>0</v>
      </c>
    </row>
    <row r="13" spans="1:42" ht="39" customHeight="1" x14ac:dyDescent="0.25">
      <c r="A13" s="92" t="s">
        <v>603</v>
      </c>
      <c r="B13" s="12" t="s">
        <v>38</v>
      </c>
      <c r="C13" s="11" t="s">
        <v>26</v>
      </c>
      <c r="D13" s="11" t="s">
        <v>39</v>
      </c>
      <c r="E13" s="13" t="s">
        <v>24</v>
      </c>
      <c r="F13" s="12">
        <v>20</v>
      </c>
      <c r="G13" s="14">
        <v>729.35</v>
      </c>
      <c r="H13" s="14">
        <v>893.23</v>
      </c>
      <c r="I13" s="14">
        <v>17864.599999999999</v>
      </c>
      <c r="J13" s="28">
        <v>1.2751320485367595E-2</v>
      </c>
      <c r="K13" s="186"/>
      <c r="L13" s="186"/>
      <c r="M13" s="186"/>
      <c r="N13" s="186"/>
      <c r="O13" s="30">
        <v>20</v>
      </c>
      <c r="P13" s="43">
        <f t="shared" si="18"/>
        <v>17864.599999999999</v>
      </c>
      <c r="Q13" s="30">
        <f t="shared" si="19"/>
        <v>20</v>
      </c>
      <c r="R13" s="25">
        <f t="shared" si="0"/>
        <v>1</v>
      </c>
      <c r="S13" s="30">
        <f t="shared" si="1"/>
        <v>0</v>
      </c>
      <c r="T13" s="36">
        <f t="shared" si="2"/>
        <v>0</v>
      </c>
      <c r="U13" s="30"/>
      <c r="V13" s="43">
        <f t="shared" si="3"/>
        <v>0</v>
      </c>
      <c r="W13" s="30">
        <f t="shared" si="4"/>
        <v>20</v>
      </c>
      <c r="X13" s="47">
        <f t="shared" si="5"/>
        <v>0.11363636363636363</v>
      </c>
      <c r="Y13" s="30">
        <f t="shared" si="6"/>
        <v>0</v>
      </c>
      <c r="Z13" s="36">
        <f t="shared" si="7"/>
        <v>0</v>
      </c>
      <c r="AA13" s="52"/>
      <c r="AB13" s="43">
        <f t="shared" si="8"/>
        <v>0</v>
      </c>
      <c r="AC13" s="30"/>
      <c r="AD13" s="43"/>
      <c r="AE13" s="30">
        <f t="shared" si="9"/>
        <v>20</v>
      </c>
      <c r="AF13" s="47">
        <f t="shared" si="10"/>
        <v>0.11363636363636363</v>
      </c>
      <c r="AG13" s="30">
        <f t="shared" si="11"/>
        <v>0</v>
      </c>
      <c r="AH13" s="36">
        <f t="shared" si="12"/>
        <v>0</v>
      </c>
      <c r="AI13" s="52"/>
      <c r="AJ13" s="43">
        <f t="shared" si="13"/>
        <v>0</v>
      </c>
      <c r="AK13" s="30"/>
      <c r="AL13" s="43"/>
      <c r="AM13" s="30">
        <f t="shared" si="14"/>
        <v>20</v>
      </c>
      <c r="AN13" s="47">
        <f t="shared" si="15"/>
        <v>0.11363636363636363</v>
      </c>
      <c r="AO13" s="30">
        <f t="shared" si="16"/>
        <v>0</v>
      </c>
      <c r="AP13" s="36">
        <f t="shared" si="17"/>
        <v>0</v>
      </c>
    </row>
    <row r="14" spans="1:42" ht="14.25" customHeight="1" x14ac:dyDescent="0.25">
      <c r="A14" s="92" t="s">
        <v>604</v>
      </c>
      <c r="B14" s="12" t="s">
        <v>40</v>
      </c>
      <c r="C14" s="11" t="s">
        <v>26</v>
      </c>
      <c r="D14" s="11" t="s">
        <v>41</v>
      </c>
      <c r="E14" s="13" t="s">
        <v>24</v>
      </c>
      <c r="F14" s="12">
        <v>20</v>
      </c>
      <c r="G14" s="14">
        <v>598.34</v>
      </c>
      <c r="H14" s="14">
        <v>732.78</v>
      </c>
      <c r="I14" s="14">
        <v>14655.6</v>
      </c>
      <c r="J14" s="28">
        <v>1.0460813704496788E-2</v>
      </c>
      <c r="K14" s="186"/>
      <c r="L14" s="186"/>
      <c r="M14" s="186"/>
      <c r="N14" s="186"/>
      <c r="O14" s="30">
        <v>20</v>
      </c>
      <c r="P14" s="43">
        <f t="shared" si="18"/>
        <v>14655.599999999999</v>
      </c>
      <c r="Q14" s="30">
        <f t="shared" si="19"/>
        <v>20</v>
      </c>
      <c r="R14" s="25">
        <f t="shared" si="0"/>
        <v>1</v>
      </c>
      <c r="S14" s="30">
        <f t="shared" si="1"/>
        <v>0</v>
      </c>
      <c r="T14" s="36">
        <f t="shared" si="2"/>
        <v>0</v>
      </c>
      <c r="U14" s="30"/>
      <c r="V14" s="43">
        <f t="shared" si="3"/>
        <v>0</v>
      </c>
      <c r="W14" s="30">
        <f t="shared" si="4"/>
        <v>20</v>
      </c>
      <c r="X14" s="47">
        <f t="shared" si="5"/>
        <v>0.11363636363636363</v>
      </c>
      <c r="Y14" s="30">
        <f t="shared" si="6"/>
        <v>0</v>
      </c>
      <c r="Z14" s="36">
        <f t="shared" si="7"/>
        <v>0</v>
      </c>
      <c r="AA14" s="52"/>
      <c r="AB14" s="43">
        <f t="shared" si="8"/>
        <v>0</v>
      </c>
      <c r="AC14" s="30"/>
      <c r="AD14" s="43"/>
      <c r="AE14" s="30">
        <f t="shared" si="9"/>
        <v>20</v>
      </c>
      <c r="AF14" s="47">
        <f t="shared" si="10"/>
        <v>0.11363636363636363</v>
      </c>
      <c r="AG14" s="30">
        <f t="shared" si="11"/>
        <v>0</v>
      </c>
      <c r="AH14" s="36">
        <f t="shared" si="12"/>
        <v>0</v>
      </c>
      <c r="AI14" s="52"/>
      <c r="AJ14" s="43">
        <f t="shared" si="13"/>
        <v>0</v>
      </c>
      <c r="AK14" s="30"/>
      <c r="AL14" s="43"/>
      <c r="AM14" s="30">
        <f t="shared" si="14"/>
        <v>20</v>
      </c>
      <c r="AN14" s="47">
        <f t="shared" si="15"/>
        <v>0.11363636363636363</v>
      </c>
      <c r="AO14" s="30">
        <f t="shared" si="16"/>
        <v>0</v>
      </c>
      <c r="AP14" s="36">
        <f t="shared" si="17"/>
        <v>0</v>
      </c>
    </row>
    <row r="15" spans="1:42" ht="14.25" customHeight="1" x14ac:dyDescent="0.25">
      <c r="A15" s="92" t="s">
        <v>605</v>
      </c>
      <c r="B15" s="12" t="s">
        <v>42</v>
      </c>
      <c r="C15" s="11" t="s">
        <v>29</v>
      </c>
      <c r="D15" s="11" t="s">
        <v>43</v>
      </c>
      <c r="E15" s="13" t="s">
        <v>24</v>
      </c>
      <c r="F15" s="12">
        <v>1129.6400000000001</v>
      </c>
      <c r="G15" s="14">
        <v>5.67</v>
      </c>
      <c r="H15" s="14">
        <v>6.94</v>
      </c>
      <c r="I15" s="14">
        <v>7839.7</v>
      </c>
      <c r="J15" s="28">
        <v>5.5957887223411851E-3</v>
      </c>
      <c r="K15" s="186"/>
      <c r="L15" s="186"/>
      <c r="M15" s="186"/>
      <c r="N15" s="186"/>
      <c r="O15" s="30"/>
      <c r="P15" s="43">
        <f t="shared" si="18"/>
        <v>0</v>
      </c>
      <c r="Q15" s="30">
        <f t="shared" si="19"/>
        <v>0</v>
      </c>
      <c r="R15" s="25">
        <f t="shared" si="0"/>
        <v>0</v>
      </c>
      <c r="S15" s="30">
        <f t="shared" si="1"/>
        <v>1129.6400000000001</v>
      </c>
      <c r="T15" s="36">
        <f t="shared" si="2"/>
        <v>7839.7016000000012</v>
      </c>
      <c r="U15" s="30">
        <v>742.79</v>
      </c>
      <c r="V15" s="43">
        <f t="shared" si="3"/>
        <v>5154.9625999999998</v>
      </c>
      <c r="W15" s="30">
        <f t="shared" si="4"/>
        <v>742.79</v>
      </c>
      <c r="X15" s="47">
        <f t="shared" si="5"/>
        <v>4.2203977272727267</v>
      </c>
      <c r="Y15" s="30">
        <f t="shared" si="6"/>
        <v>386.85000000000014</v>
      </c>
      <c r="Z15" s="36">
        <f t="shared" si="7"/>
        <v>2684.7390000000009</v>
      </c>
      <c r="AA15" s="52"/>
      <c r="AB15" s="43">
        <f t="shared" si="8"/>
        <v>0</v>
      </c>
      <c r="AC15" s="30"/>
      <c r="AD15" s="43"/>
      <c r="AE15" s="30">
        <f t="shared" si="9"/>
        <v>742.79</v>
      </c>
      <c r="AF15" s="47">
        <f t="shared" si="10"/>
        <v>4.2203977272727267</v>
      </c>
      <c r="AG15" s="30">
        <f t="shared" si="11"/>
        <v>386.85000000000014</v>
      </c>
      <c r="AH15" s="36">
        <f t="shared" si="12"/>
        <v>2684.7390000000009</v>
      </c>
      <c r="AI15" s="52"/>
      <c r="AJ15" s="43">
        <f t="shared" si="13"/>
        <v>0</v>
      </c>
      <c r="AK15" s="30"/>
      <c r="AL15" s="43"/>
      <c r="AM15" s="30">
        <f t="shared" si="14"/>
        <v>742.79</v>
      </c>
      <c r="AN15" s="47">
        <f t="shared" si="15"/>
        <v>4.2203977272727267</v>
      </c>
      <c r="AO15" s="30">
        <f t="shared" si="16"/>
        <v>386.85000000000014</v>
      </c>
      <c r="AP15" s="36">
        <f t="shared" si="17"/>
        <v>2684.7390000000009</v>
      </c>
    </row>
    <row r="16" spans="1:42" ht="39" customHeight="1" x14ac:dyDescent="0.25">
      <c r="A16" s="92" t="s">
        <v>606</v>
      </c>
      <c r="B16" s="12" t="s">
        <v>44</v>
      </c>
      <c r="C16" s="11" t="s">
        <v>26</v>
      </c>
      <c r="D16" s="11" t="s">
        <v>45</v>
      </c>
      <c r="E16" s="13" t="s">
        <v>24</v>
      </c>
      <c r="F16" s="12">
        <v>4000</v>
      </c>
      <c r="G16" s="14">
        <v>0.25</v>
      </c>
      <c r="H16" s="14">
        <v>0.3</v>
      </c>
      <c r="I16" s="14">
        <v>1200</v>
      </c>
      <c r="J16" s="28">
        <v>8.5653104925053529E-4</v>
      </c>
      <c r="K16" s="186"/>
      <c r="L16" s="186"/>
      <c r="M16" s="186"/>
      <c r="N16" s="186"/>
      <c r="O16" s="30">
        <v>4000</v>
      </c>
      <c r="P16" s="43">
        <f t="shared" si="18"/>
        <v>1200</v>
      </c>
      <c r="Q16" s="30">
        <f t="shared" si="19"/>
        <v>4000</v>
      </c>
      <c r="R16" s="25">
        <f t="shared" si="0"/>
        <v>1</v>
      </c>
      <c r="S16" s="30">
        <f t="shared" si="1"/>
        <v>0</v>
      </c>
      <c r="T16" s="36">
        <f t="shared" si="2"/>
        <v>0</v>
      </c>
      <c r="U16" s="30"/>
      <c r="V16" s="43">
        <f t="shared" si="3"/>
        <v>0</v>
      </c>
      <c r="W16" s="30">
        <f t="shared" si="4"/>
        <v>4000</v>
      </c>
      <c r="X16" s="47">
        <f t="shared" si="5"/>
        <v>22.727272727272727</v>
      </c>
      <c r="Y16" s="30">
        <f t="shared" si="6"/>
        <v>0</v>
      </c>
      <c r="Z16" s="36">
        <f t="shared" si="7"/>
        <v>0</v>
      </c>
      <c r="AA16" s="52"/>
      <c r="AB16" s="43">
        <f t="shared" si="8"/>
        <v>0</v>
      </c>
      <c r="AC16" s="30"/>
      <c r="AD16" s="43"/>
      <c r="AE16" s="30">
        <f t="shared" si="9"/>
        <v>4000</v>
      </c>
      <c r="AF16" s="47">
        <f t="shared" si="10"/>
        <v>22.727272727272727</v>
      </c>
      <c r="AG16" s="30">
        <f t="shared" si="11"/>
        <v>0</v>
      </c>
      <c r="AH16" s="36">
        <f t="shared" si="12"/>
        <v>0</v>
      </c>
      <c r="AI16" s="52"/>
      <c r="AJ16" s="43">
        <f t="shared" si="13"/>
        <v>0</v>
      </c>
      <c r="AK16" s="30"/>
      <c r="AL16" s="43"/>
      <c r="AM16" s="30">
        <f t="shared" si="14"/>
        <v>4000</v>
      </c>
      <c r="AN16" s="47">
        <f t="shared" si="15"/>
        <v>22.727272727272727</v>
      </c>
      <c r="AO16" s="30">
        <f t="shared" si="16"/>
        <v>0</v>
      </c>
      <c r="AP16" s="36">
        <f t="shared" si="17"/>
        <v>0</v>
      </c>
    </row>
    <row r="17" spans="1:42" ht="14.25" customHeight="1" x14ac:dyDescent="0.25">
      <c r="A17" s="91" t="s">
        <v>46</v>
      </c>
      <c r="B17" s="8"/>
      <c r="C17" s="8"/>
      <c r="D17" s="8" t="s">
        <v>47</v>
      </c>
      <c r="E17" s="8"/>
      <c r="F17" s="9"/>
      <c r="G17" s="8"/>
      <c r="H17" s="8"/>
      <c r="I17" s="10">
        <v>31327.78</v>
      </c>
      <c r="J17" s="27">
        <v>2.2361013561741614E-2</v>
      </c>
      <c r="K17" s="185"/>
      <c r="L17" s="185"/>
      <c r="M17" s="185"/>
      <c r="N17" s="185"/>
      <c r="O17" s="32"/>
      <c r="P17" s="44"/>
      <c r="Q17" s="22"/>
      <c r="R17" s="22"/>
      <c r="S17" s="32"/>
      <c r="T17" s="37">
        <f>SUM(T18:T21)</f>
        <v>31327.8066</v>
      </c>
      <c r="U17" s="32"/>
      <c r="V17" s="44"/>
      <c r="W17" s="32"/>
      <c r="X17" s="48"/>
      <c r="Y17" s="32"/>
      <c r="Z17" s="37">
        <f>SUM(Z18:Z21)</f>
        <v>22755.953631</v>
      </c>
      <c r="AA17" s="53"/>
      <c r="AB17" s="44"/>
      <c r="AC17" s="32"/>
      <c r="AD17" s="44"/>
      <c r="AE17" s="32"/>
      <c r="AF17" s="48"/>
      <c r="AG17" s="32"/>
      <c r="AH17" s="37">
        <f>SUM(AH18:AH21)</f>
        <v>22755.953631</v>
      </c>
      <c r="AI17" s="53"/>
      <c r="AJ17" s="44"/>
      <c r="AK17" s="32"/>
      <c r="AL17" s="44"/>
      <c r="AM17" s="32"/>
      <c r="AN17" s="48"/>
      <c r="AO17" s="32"/>
      <c r="AP17" s="37">
        <f>SUM(AP18:AP21)</f>
        <v>22755.953631</v>
      </c>
    </row>
    <row r="18" spans="1:42" ht="25.5" customHeight="1" x14ac:dyDescent="0.25">
      <c r="A18" s="92" t="s">
        <v>619</v>
      </c>
      <c r="B18" s="12" t="s">
        <v>48</v>
      </c>
      <c r="C18" s="11" t="s">
        <v>26</v>
      </c>
      <c r="D18" s="11" t="s">
        <v>49</v>
      </c>
      <c r="E18" s="13" t="s">
        <v>50</v>
      </c>
      <c r="F18" s="12">
        <v>168.5</v>
      </c>
      <c r="G18" s="14">
        <v>54</v>
      </c>
      <c r="H18" s="14">
        <v>66.13</v>
      </c>
      <c r="I18" s="14">
        <v>11142.9</v>
      </c>
      <c r="J18" s="28">
        <v>7.9535331905781579E-3</v>
      </c>
      <c r="K18" s="186"/>
      <c r="L18" s="186"/>
      <c r="M18" s="186"/>
      <c r="N18" s="186"/>
      <c r="O18" s="30"/>
      <c r="P18" s="43">
        <f>O18*H18</f>
        <v>0</v>
      </c>
      <c r="Q18" s="30">
        <f>O18</f>
        <v>0</v>
      </c>
      <c r="R18" s="25">
        <f>Q18/F18</f>
        <v>0</v>
      </c>
      <c r="S18" s="30">
        <f>F18-Q18</f>
        <v>168.5</v>
      </c>
      <c r="T18" s="36">
        <f>S18*H18</f>
        <v>11142.904999999999</v>
      </c>
      <c r="U18" s="97">
        <f>'MEMORIA DE CALCULO'!H100</f>
        <v>114.12049999999999</v>
      </c>
      <c r="V18" s="43">
        <f>U18*H18</f>
        <v>7546.7886649999991</v>
      </c>
      <c r="W18" s="30">
        <f t="shared" ref="W18:W21" si="20">Q18+U18</f>
        <v>114.12049999999999</v>
      </c>
      <c r="X18" s="47">
        <f t="shared" ref="X18:X21" si="21">W18/$F$8</f>
        <v>0.6484119318181818</v>
      </c>
      <c r="Y18" s="30">
        <f t="shared" si="6"/>
        <v>54.379500000000007</v>
      </c>
      <c r="Z18" s="36">
        <f>Y18*H18</f>
        <v>3596.1163350000002</v>
      </c>
      <c r="AA18" s="52"/>
      <c r="AB18" s="43">
        <f>AA18*H18</f>
        <v>0</v>
      </c>
      <c r="AC18" s="30"/>
      <c r="AD18" s="43"/>
      <c r="AE18" s="30">
        <f t="shared" ref="AE18:AE21" si="22">W18+AC18</f>
        <v>114.12049999999999</v>
      </c>
      <c r="AF18" s="47">
        <f t="shared" ref="AF18:AF21" si="23">AE18/$F$8</f>
        <v>0.6484119318181818</v>
      </c>
      <c r="AG18" s="30">
        <f t="shared" si="11"/>
        <v>54.379500000000007</v>
      </c>
      <c r="AH18" s="36">
        <f>AG18*H18</f>
        <v>3596.1163350000002</v>
      </c>
      <c r="AI18" s="52"/>
      <c r="AJ18" s="43">
        <f t="shared" ref="AJ18:AJ21" si="24">AI18*T18</f>
        <v>0</v>
      </c>
      <c r="AK18" s="30"/>
      <c r="AL18" s="43"/>
      <c r="AM18" s="30">
        <f t="shared" ref="AM18:AM21" si="25">AE18+AK18</f>
        <v>114.12049999999999</v>
      </c>
      <c r="AN18" s="47">
        <f t="shared" si="15"/>
        <v>0.6484119318181818</v>
      </c>
      <c r="AO18" s="30">
        <f t="shared" si="16"/>
        <v>54.379500000000007</v>
      </c>
      <c r="AP18" s="36">
        <f>AO18*H18</f>
        <v>3596.1163350000002</v>
      </c>
    </row>
    <row r="19" spans="1:42" ht="25.5" customHeight="1" x14ac:dyDescent="0.25">
      <c r="A19" s="92" t="s">
        <v>620</v>
      </c>
      <c r="B19" s="12" t="s">
        <v>51</v>
      </c>
      <c r="C19" s="11" t="s">
        <v>26</v>
      </c>
      <c r="D19" s="11" t="s">
        <v>52</v>
      </c>
      <c r="E19" s="13" t="s">
        <v>50</v>
      </c>
      <c r="F19" s="12">
        <v>94.33</v>
      </c>
      <c r="G19" s="14">
        <v>56.41</v>
      </c>
      <c r="H19" s="14">
        <v>69.08</v>
      </c>
      <c r="I19" s="14">
        <v>6516.31</v>
      </c>
      <c r="J19" s="28">
        <v>4.6511848679514634E-3</v>
      </c>
      <c r="K19" s="186"/>
      <c r="L19" s="186"/>
      <c r="M19" s="186"/>
      <c r="N19" s="186"/>
      <c r="O19" s="30"/>
      <c r="P19" s="43">
        <f t="shared" ref="P19:P21" si="26">O19*H19</f>
        <v>0</v>
      </c>
      <c r="Q19" s="30">
        <f>O19</f>
        <v>0</v>
      </c>
      <c r="R19" s="25">
        <f>Q19/F19</f>
        <v>0</v>
      </c>
      <c r="S19" s="30">
        <f>F19-Q19</f>
        <v>94.33</v>
      </c>
      <c r="T19" s="36">
        <f>S19*H19</f>
        <v>6516.3163999999997</v>
      </c>
      <c r="U19" s="97">
        <f>'MEMORIA DE CALCULO'!H116</f>
        <v>14.838799999999999</v>
      </c>
      <c r="V19" s="43">
        <f>U19*H19</f>
        <v>1025.064304</v>
      </c>
      <c r="W19" s="30">
        <f t="shared" si="20"/>
        <v>14.838799999999999</v>
      </c>
      <c r="X19" s="47">
        <f t="shared" si="21"/>
        <v>8.4311363636363629E-2</v>
      </c>
      <c r="Y19" s="30">
        <f t="shared" si="6"/>
        <v>79.491199999999992</v>
      </c>
      <c r="Z19" s="36">
        <f>Y19*H19</f>
        <v>5491.2520959999993</v>
      </c>
      <c r="AA19" s="52"/>
      <c r="AB19" s="43">
        <f>AA19*H19</f>
        <v>0</v>
      </c>
      <c r="AC19" s="30"/>
      <c r="AD19" s="43"/>
      <c r="AE19" s="30">
        <f t="shared" si="22"/>
        <v>14.838799999999999</v>
      </c>
      <c r="AF19" s="47">
        <f t="shared" si="23"/>
        <v>8.4311363636363629E-2</v>
      </c>
      <c r="AG19" s="30">
        <f t="shared" si="11"/>
        <v>79.491199999999992</v>
      </c>
      <c r="AH19" s="36">
        <f>AG19*H19</f>
        <v>5491.2520959999993</v>
      </c>
      <c r="AI19" s="52"/>
      <c r="AJ19" s="43">
        <f t="shared" si="24"/>
        <v>0</v>
      </c>
      <c r="AK19" s="30"/>
      <c r="AL19" s="43"/>
      <c r="AM19" s="30">
        <f t="shared" si="25"/>
        <v>14.838799999999999</v>
      </c>
      <c r="AN19" s="47">
        <f t="shared" si="15"/>
        <v>8.4311363636363629E-2</v>
      </c>
      <c r="AO19" s="30">
        <f t="shared" si="16"/>
        <v>79.491199999999992</v>
      </c>
      <c r="AP19" s="36">
        <f>AO19*H19</f>
        <v>5491.2520959999993</v>
      </c>
    </row>
    <row r="20" spans="1:42" ht="25.5" customHeight="1" x14ac:dyDescent="0.25">
      <c r="A20" s="92" t="s">
        <v>636</v>
      </c>
      <c r="B20" s="12" t="s">
        <v>48</v>
      </c>
      <c r="C20" s="11" t="s">
        <v>26</v>
      </c>
      <c r="D20" s="11" t="s">
        <v>49</v>
      </c>
      <c r="E20" s="13" t="s">
        <v>50</v>
      </c>
      <c r="F20" s="12">
        <v>184.58</v>
      </c>
      <c r="G20" s="14">
        <v>54</v>
      </c>
      <c r="H20" s="14">
        <v>66.13</v>
      </c>
      <c r="I20" s="14">
        <v>12206.27</v>
      </c>
      <c r="J20" s="28">
        <v>8.7125410421127758E-3</v>
      </c>
      <c r="K20" s="186"/>
      <c r="L20" s="186"/>
      <c r="M20" s="186"/>
      <c r="N20" s="186"/>
      <c r="O20" s="30"/>
      <c r="P20" s="43">
        <f t="shared" si="26"/>
        <v>0</v>
      </c>
      <c r="Q20" s="30">
        <f t="shared" ref="Q20:Q21" si="27">O20</f>
        <v>0</v>
      </c>
      <c r="R20" s="25">
        <f>Q20/F20</f>
        <v>0</v>
      </c>
      <c r="S20" s="30">
        <f>F20-Q20</f>
        <v>184.58</v>
      </c>
      <c r="T20" s="36">
        <f>S20*H20</f>
        <v>12206.2754</v>
      </c>
      <c r="U20" s="30"/>
      <c r="V20" s="43">
        <f>U20*H20</f>
        <v>0</v>
      </c>
      <c r="W20" s="30">
        <f t="shared" si="20"/>
        <v>0</v>
      </c>
      <c r="X20" s="47">
        <f t="shared" si="21"/>
        <v>0</v>
      </c>
      <c r="Y20" s="30">
        <f t="shared" si="6"/>
        <v>184.58</v>
      </c>
      <c r="Z20" s="36">
        <f>Y20*H20</f>
        <v>12206.2754</v>
      </c>
      <c r="AA20" s="52"/>
      <c r="AB20" s="43">
        <f>AA20*H20</f>
        <v>0</v>
      </c>
      <c r="AC20" s="30"/>
      <c r="AD20" s="43"/>
      <c r="AE20" s="30">
        <f t="shared" si="22"/>
        <v>0</v>
      </c>
      <c r="AF20" s="47">
        <f t="shared" si="23"/>
        <v>0</v>
      </c>
      <c r="AG20" s="30">
        <f t="shared" si="11"/>
        <v>184.58</v>
      </c>
      <c r="AH20" s="36">
        <f>AG20*H20</f>
        <v>12206.2754</v>
      </c>
      <c r="AI20" s="52"/>
      <c r="AJ20" s="43">
        <f t="shared" si="24"/>
        <v>0</v>
      </c>
      <c r="AK20" s="30"/>
      <c r="AL20" s="43"/>
      <c r="AM20" s="30">
        <f t="shared" si="25"/>
        <v>0</v>
      </c>
      <c r="AN20" s="47">
        <f t="shared" si="15"/>
        <v>0</v>
      </c>
      <c r="AO20" s="30">
        <f t="shared" si="16"/>
        <v>184.58</v>
      </c>
      <c r="AP20" s="36">
        <f>AO20*H20</f>
        <v>12206.2754</v>
      </c>
    </row>
    <row r="21" spans="1:42" ht="25.5" customHeight="1" x14ac:dyDescent="0.25">
      <c r="A21" s="92" t="s">
        <v>637</v>
      </c>
      <c r="B21" s="12" t="s">
        <v>53</v>
      </c>
      <c r="C21" s="11" t="s">
        <v>26</v>
      </c>
      <c r="D21" s="11" t="s">
        <v>54</v>
      </c>
      <c r="E21" s="13" t="s">
        <v>50</v>
      </c>
      <c r="F21" s="12">
        <v>55.58</v>
      </c>
      <c r="G21" s="14">
        <v>21.49</v>
      </c>
      <c r="H21" s="14">
        <v>26.31</v>
      </c>
      <c r="I21" s="14">
        <v>1462.3</v>
      </c>
      <c r="J21" s="28">
        <v>1.0437544610992148E-3</v>
      </c>
      <c r="K21" s="186"/>
      <c r="L21" s="186"/>
      <c r="M21" s="186"/>
      <c r="N21" s="186"/>
      <c r="O21" s="30"/>
      <c r="P21" s="43">
        <f t="shared" si="26"/>
        <v>0</v>
      </c>
      <c r="Q21" s="30">
        <f t="shared" si="27"/>
        <v>0</v>
      </c>
      <c r="R21" s="25">
        <f>Q21/F21</f>
        <v>0</v>
      </c>
      <c r="S21" s="30">
        <f>F21-Q21</f>
        <v>55.58</v>
      </c>
      <c r="T21" s="36">
        <f>S21*H21</f>
        <v>1462.3098</v>
      </c>
      <c r="U21" s="30"/>
      <c r="V21" s="43">
        <f>U21*H21</f>
        <v>0</v>
      </c>
      <c r="W21" s="30">
        <f t="shared" si="20"/>
        <v>0</v>
      </c>
      <c r="X21" s="47">
        <f t="shared" si="21"/>
        <v>0</v>
      </c>
      <c r="Y21" s="30">
        <f t="shared" si="6"/>
        <v>55.58</v>
      </c>
      <c r="Z21" s="36">
        <f>Y21*H21</f>
        <v>1462.3098</v>
      </c>
      <c r="AA21" s="52"/>
      <c r="AB21" s="43">
        <f>AA21*H21</f>
        <v>0</v>
      </c>
      <c r="AC21" s="30"/>
      <c r="AD21" s="43"/>
      <c r="AE21" s="30">
        <f t="shared" si="22"/>
        <v>0</v>
      </c>
      <c r="AF21" s="47">
        <f t="shared" si="23"/>
        <v>0</v>
      </c>
      <c r="AG21" s="30">
        <f t="shared" si="11"/>
        <v>55.58</v>
      </c>
      <c r="AH21" s="36">
        <f>AG21*H21</f>
        <v>1462.3098</v>
      </c>
      <c r="AI21" s="52"/>
      <c r="AJ21" s="43">
        <f t="shared" si="24"/>
        <v>0</v>
      </c>
      <c r="AK21" s="30"/>
      <c r="AL21" s="43"/>
      <c r="AM21" s="30">
        <f t="shared" si="25"/>
        <v>0</v>
      </c>
      <c r="AN21" s="47">
        <f t="shared" si="15"/>
        <v>0</v>
      </c>
      <c r="AO21" s="30">
        <f t="shared" si="16"/>
        <v>55.58</v>
      </c>
      <c r="AP21" s="36">
        <f>AO21*H21</f>
        <v>1462.3098</v>
      </c>
    </row>
    <row r="22" spans="1:42" ht="14.25" customHeight="1" x14ac:dyDescent="0.25">
      <c r="A22" s="91" t="s">
        <v>55</v>
      </c>
      <c r="B22" s="8"/>
      <c r="C22" s="8"/>
      <c r="D22" s="8" t="s">
        <v>56</v>
      </c>
      <c r="E22" s="8"/>
      <c r="F22" s="9"/>
      <c r="G22" s="8"/>
      <c r="H22" s="8"/>
      <c r="I22" s="10">
        <v>110557.96</v>
      </c>
      <c r="J22" s="27">
        <v>7.8913604568165596E-2</v>
      </c>
      <c r="K22" s="185"/>
      <c r="L22" s="185"/>
      <c r="M22" s="185"/>
      <c r="N22" s="185"/>
      <c r="O22" s="32"/>
      <c r="P22" s="44"/>
      <c r="Q22" s="22"/>
      <c r="R22" s="22"/>
      <c r="S22" s="32"/>
      <c r="T22" s="37"/>
      <c r="U22" s="32"/>
      <c r="V22" s="44"/>
      <c r="W22" s="32"/>
      <c r="X22" s="48"/>
      <c r="Y22" s="32"/>
      <c r="Z22" s="37"/>
      <c r="AA22" s="53"/>
      <c r="AB22" s="44"/>
      <c r="AC22" s="32"/>
      <c r="AD22" s="44"/>
      <c r="AE22" s="32"/>
      <c r="AF22" s="48"/>
      <c r="AG22" s="32"/>
      <c r="AH22" s="37"/>
      <c r="AI22" s="53"/>
      <c r="AJ22" s="44"/>
      <c r="AK22" s="32"/>
      <c r="AL22" s="44"/>
      <c r="AM22" s="32"/>
      <c r="AN22" s="48"/>
      <c r="AO22" s="32"/>
      <c r="AP22" s="37"/>
    </row>
    <row r="23" spans="1:42" ht="14.25" customHeight="1" x14ac:dyDescent="0.25">
      <c r="A23" s="91" t="s">
        <v>57</v>
      </c>
      <c r="B23" s="8"/>
      <c r="C23" s="8"/>
      <c r="D23" s="8" t="s">
        <v>58</v>
      </c>
      <c r="E23" s="8"/>
      <c r="F23" s="9"/>
      <c r="G23" s="8"/>
      <c r="H23" s="8"/>
      <c r="I23" s="10">
        <v>40612.69</v>
      </c>
      <c r="J23" s="27">
        <v>2.8988358315488936E-2</v>
      </c>
      <c r="K23" s="185"/>
      <c r="L23" s="185"/>
      <c r="M23" s="185"/>
      <c r="N23" s="185"/>
      <c r="O23" s="31"/>
      <c r="P23" s="42"/>
      <c r="Q23" s="24"/>
      <c r="R23" s="23"/>
      <c r="S23" s="33"/>
      <c r="T23" s="35">
        <f>SUM(T24:T31)</f>
        <v>40612.732800000005</v>
      </c>
      <c r="U23" s="31"/>
      <c r="V23" s="42"/>
      <c r="W23" s="41"/>
      <c r="X23" s="46"/>
      <c r="Y23" s="33"/>
      <c r="Z23" s="35">
        <f>SUM(Z24:Z31)</f>
        <v>25069.544069167205</v>
      </c>
      <c r="AA23" s="31"/>
      <c r="AB23" s="42"/>
      <c r="AC23" s="31"/>
      <c r="AD23" s="42"/>
      <c r="AE23" s="41"/>
      <c r="AF23" s="46"/>
      <c r="AG23" s="33"/>
      <c r="AH23" s="35">
        <f>SUM(AH24:AH31)</f>
        <v>25069.544069167205</v>
      </c>
      <c r="AI23" s="31"/>
      <c r="AJ23" s="42"/>
      <c r="AK23" s="31"/>
      <c r="AL23" s="42"/>
      <c r="AM23" s="41"/>
      <c r="AN23" s="46"/>
      <c r="AO23" s="33"/>
      <c r="AP23" s="35">
        <f>SUM(AP24:AP31)</f>
        <v>25069.544069167205</v>
      </c>
    </row>
    <row r="24" spans="1:42" ht="14.25" customHeight="1" x14ac:dyDescent="0.25">
      <c r="A24" s="92" t="s">
        <v>626</v>
      </c>
      <c r="B24" s="12" t="s">
        <v>59</v>
      </c>
      <c r="C24" s="11" t="s">
        <v>26</v>
      </c>
      <c r="D24" s="11" t="s">
        <v>60</v>
      </c>
      <c r="E24" s="13" t="s">
        <v>24</v>
      </c>
      <c r="F24" s="12">
        <v>61.88</v>
      </c>
      <c r="G24" s="14">
        <v>22.37</v>
      </c>
      <c r="H24" s="14">
        <v>27.39</v>
      </c>
      <c r="I24" s="14">
        <v>1694.89</v>
      </c>
      <c r="J24" s="28">
        <v>1.2097715917201999E-3</v>
      </c>
      <c r="K24" s="186"/>
      <c r="L24" s="186"/>
      <c r="M24" s="186"/>
      <c r="N24" s="186"/>
      <c r="O24" s="30"/>
      <c r="P24" s="43">
        <f t="shared" ref="P24:P31" si="28">O24*H24</f>
        <v>0</v>
      </c>
      <c r="Q24" s="30">
        <f>O24</f>
        <v>0</v>
      </c>
      <c r="R24" s="25">
        <f t="shared" ref="R24:R31" si="29">Q24/F24</f>
        <v>0</v>
      </c>
      <c r="S24" s="30">
        <f t="shared" ref="S24:S31" si="30">F24-Q24</f>
        <v>61.88</v>
      </c>
      <c r="T24" s="36">
        <f t="shared" ref="T24:T31" si="31">S24*H24</f>
        <v>1694.8932000000002</v>
      </c>
      <c r="U24" s="97">
        <f>'MEMORIA DE CALCULO'!H160</f>
        <v>35.449999999999996</v>
      </c>
      <c r="V24" s="43">
        <f t="shared" ref="V24:V31" si="32">U24*H24</f>
        <v>970.9754999999999</v>
      </c>
      <c r="W24" s="30">
        <f t="shared" ref="W24:W31" si="33">Q24+U24</f>
        <v>35.449999999999996</v>
      </c>
      <c r="X24" s="47">
        <f t="shared" ref="X24:X31" si="34">W24/$F$8</f>
        <v>0.20142045454545451</v>
      </c>
      <c r="Y24" s="30">
        <f t="shared" ref="Y24:Y31" si="35">F24-W24</f>
        <v>26.430000000000007</v>
      </c>
      <c r="Z24" s="36">
        <f t="shared" ref="Z24:Z31" si="36">Y24*H24</f>
        <v>723.9177000000002</v>
      </c>
      <c r="AA24" s="52"/>
      <c r="AB24" s="43">
        <f t="shared" ref="AB24:AB31" si="37">AA24*H24</f>
        <v>0</v>
      </c>
      <c r="AC24" s="30"/>
      <c r="AD24" s="43"/>
      <c r="AE24" s="30">
        <f t="shared" ref="AE24:AE31" si="38">W24+AC24</f>
        <v>35.449999999999996</v>
      </c>
      <c r="AF24" s="47">
        <f t="shared" ref="AF24:AF31" si="39">AE24/$F$8</f>
        <v>0.20142045454545451</v>
      </c>
      <c r="AG24" s="30">
        <f t="shared" ref="AG24:AG31" si="40">F24-AE24</f>
        <v>26.430000000000007</v>
      </c>
      <c r="AH24" s="36">
        <f t="shared" ref="AH24:AH31" si="41">AG24*H24</f>
        <v>723.9177000000002</v>
      </c>
      <c r="AI24" s="52"/>
      <c r="AJ24" s="43">
        <f t="shared" ref="AJ24:AJ31" si="42">AI24*T24</f>
        <v>0</v>
      </c>
      <c r="AK24" s="30"/>
      <c r="AL24" s="43"/>
      <c r="AM24" s="30">
        <f t="shared" ref="AM24:AM31" si="43">AE24+AK24</f>
        <v>35.449999999999996</v>
      </c>
      <c r="AN24" s="47">
        <f t="shared" ref="AN24:AN31" si="44">AM24/$F$8</f>
        <v>0.20142045454545451</v>
      </c>
      <c r="AO24" s="30">
        <f t="shared" ref="AO24:AO31" si="45">F24-AM24</f>
        <v>26.430000000000007</v>
      </c>
      <c r="AP24" s="36">
        <f t="shared" ref="AP24:AP31" si="46">AO24*H24</f>
        <v>723.9177000000002</v>
      </c>
    </row>
    <row r="25" spans="1:42" ht="14.25" customHeight="1" x14ac:dyDescent="0.25">
      <c r="A25" s="92" t="s">
        <v>629</v>
      </c>
      <c r="B25" s="12" t="s">
        <v>61</v>
      </c>
      <c r="C25" s="11" t="s">
        <v>26</v>
      </c>
      <c r="D25" s="11" t="s">
        <v>62</v>
      </c>
      <c r="E25" s="13" t="s">
        <v>24</v>
      </c>
      <c r="F25" s="12">
        <v>165.15</v>
      </c>
      <c r="G25" s="14">
        <v>104.74</v>
      </c>
      <c r="H25" s="14">
        <v>128.27000000000001</v>
      </c>
      <c r="I25" s="14">
        <v>21183.79</v>
      </c>
      <c r="J25" s="28">
        <v>1.5120478229835832E-2</v>
      </c>
      <c r="K25" s="186"/>
      <c r="L25" s="186"/>
      <c r="M25" s="186"/>
      <c r="N25" s="186"/>
      <c r="O25" s="30"/>
      <c r="P25" s="43">
        <f t="shared" si="28"/>
        <v>0</v>
      </c>
      <c r="Q25" s="30">
        <f>O25</f>
        <v>0</v>
      </c>
      <c r="R25" s="25">
        <f t="shared" si="29"/>
        <v>0</v>
      </c>
      <c r="S25" s="30">
        <f t="shared" si="30"/>
        <v>165.15</v>
      </c>
      <c r="T25" s="36">
        <f t="shared" si="31"/>
        <v>21183.790500000003</v>
      </c>
      <c r="U25" s="97">
        <f>'MEMORIA DE CALCULO'!H190</f>
        <v>52.85</v>
      </c>
      <c r="V25" s="43">
        <f t="shared" si="32"/>
        <v>6779.0695000000005</v>
      </c>
      <c r="W25" s="30">
        <f t="shared" si="33"/>
        <v>52.85</v>
      </c>
      <c r="X25" s="47">
        <f t="shared" si="34"/>
        <v>0.30028409090909092</v>
      </c>
      <c r="Y25" s="30">
        <f t="shared" si="35"/>
        <v>112.30000000000001</v>
      </c>
      <c r="Z25" s="36">
        <f t="shared" si="36"/>
        <v>14404.721000000003</v>
      </c>
      <c r="AA25" s="52"/>
      <c r="AB25" s="43">
        <f t="shared" si="37"/>
        <v>0</v>
      </c>
      <c r="AC25" s="30"/>
      <c r="AD25" s="43"/>
      <c r="AE25" s="30">
        <f t="shared" si="38"/>
        <v>52.85</v>
      </c>
      <c r="AF25" s="47">
        <f t="shared" si="39"/>
        <v>0.30028409090909092</v>
      </c>
      <c r="AG25" s="30">
        <f t="shared" si="40"/>
        <v>112.30000000000001</v>
      </c>
      <c r="AH25" s="36">
        <f t="shared" si="41"/>
        <v>14404.721000000003</v>
      </c>
      <c r="AI25" s="52"/>
      <c r="AJ25" s="43">
        <f t="shared" si="42"/>
        <v>0</v>
      </c>
      <c r="AK25" s="30"/>
      <c r="AL25" s="43"/>
      <c r="AM25" s="30">
        <f t="shared" si="43"/>
        <v>52.85</v>
      </c>
      <c r="AN25" s="47">
        <f t="shared" si="44"/>
        <v>0.30028409090909092</v>
      </c>
      <c r="AO25" s="30">
        <f t="shared" si="45"/>
        <v>112.30000000000001</v>
      </c>
      <c r="AP25" s="36">
        <f t="shared" si="46"/>
        <v>14404.721000000003</v>
      </c>
    </row>
    <row r="26" spans="1:42" ht="39" customHeight="1" x14ac:dyDescent="0.25">
      <c r="A26" s="92" t="s">
        <v>638</v>
      </c>
      <c r="B26" s="12" t="s">
        <v>63</v>
      </c>
      <c r="C26" s="11" t="s">
        <v>26</v>
      </c>
      <c r="D26" s="11" t="s">
        <v>64</v>
      </c>
      <c r="E26" s="13" t="s">
        <v>65</v>
      </c>
      <c r="F26" s="64">
        <v>6.55</v>
      </c>
      <c r="G26" s="14">
        <v>11.54</v>
      </c>
      <c r="H26" s="14">
        <v>14.13</v>
      </c>
      <c r="I26" s="14">
        <v>92.55</v>
      </c>
      <c r="J26" s="28">
        <v>6.6059957173447543E-5</v>
      </c>
      <c r="K26" s="186"/>
      <c r="L26" s="186"/>
      <c r="M26" s="186"/>
      <c r="N26" s="186"/>
      <c r="O26" s="30"/>
      <c r="P26" s="43">
        <f t="shared" si="28"/>
        <v>0</v>
      </c>
      <c r="Q26" s="30">
        <f t="shared" ref="Q26:Q31" si="47">O26</f>
        <v>0</v>
      </c>
      <c r="R26" s="25">
        <f t="shared" si="29"/>
        <v>0</v>
      </c>
      <c r="S26" s="30">
        <f t="shared" si="30"/>
        <v>6.55</v>
      </c>
      <c r="T26" s="36">
        <f t="shared" si="31"/>
        <v>92.551500000000004</v>
      </c>
      <c r="U26" s="30"/>
      <c r="V26" s="43">
        <f t="shared" si="32"/>
        <v>0</v>
      </c>
      <c r="W26" s="30">
        <f t="shared" si="33"/>
        <v>0</v>
      </c>
      <c r="X26" s="47">
        <f t="shared" si="34"/>
        <v>0</v>
      </c>
      <c r="Y26" s="30">
        <f t="shared" si="35"/>
        <v>6.55</v>
      </c>
      <c r="Z26" s="36">
        <f t="shared" si="36"/>
        <v>92.551500000000004</v>
      </c>
      <c r="AA26" s="52"/>
      <c r="AB26" s="43">
        <f t="shared" si="37"/>
        <v>0</v>
      </c>
      <c r="AC26" s="30"/>
      <c r="AD26" s="43"/>
      <c r="AE26" s="30">
        <f t="shared" si="38"/>
        <v>0</v>
      </c>
      <c r="AF26" s="47">
        <f t="shared" si="39"/>
        <v>0</v>
      </c>
      <c r="AG26" s="30">
        <f t="shared" si="40"/>
        <v>6.55</v>
      </c>
      <c r="AH26" s="36">
        <f t="shared" si="41"/>
        <v>92.551500000000004</v>
      </c>
      <c r="AI26" s="52"/>
      <c r="AJ26" s="43">
        <f t="shared" si="42"/>
        <v>0</v>
      </c>
      <c r="AK26" s="30"/>
      <c r="AL26" s="43"/>
      <c r="AM26" s="30">
        <f t="shared" si="43"/>
        <v>0</v>
      </c>
      <c r="AN26" s="47">
        <f t="shared" si="44"/>
        <v>0</v>
      </c>
      <c r="AO26" s="30">
        <f t="shared" si="45"/>
        <v>6.55</v>
      </c>
      <c r="AP26" s="36">
        <f t="shared" si="46"/>
        <v>92.551500000000004</v>
      </c>
    </row>
    <row r="27" spans="1:42" ht="39" customHeight="1" x14ac:dyDescent="0.25">
      <c r="A27" s="92" t="s">
        <v>639</v>
      </c>
      <c r="B27" s="12" t="s">
        <v>66</v>
      </c>
      <c r="C27" s="11" t="s">
        <v>26</v>
      </c>
      <c r="D27" s="11" t="s">
        <v>67</v>
      </c>
      <c r="E27" s="13" t="s">
        <v>65</v>
      </c>
      <c r="F27" s="64">
        <v>32.450000000000003</v>
      </c>
      <c r="G27" s="14">
        <v>10.65</v>
      </c>
      <c r="H27" s="14">
        <v>13.04</v>
      </c>
      <c r="I27" s="14">
        <v>423.14</v>
      </c>
      <c r="J27" s="28">
        <v>3.0202712348322626E-4</v>
      </c>
      <c r="K27" s="186"/>
      <c r="L27" s="186"/>
      <c r="M27" s="186"/>
      <c r="N27" s="186"/>
      <c r="O27" s="30"/>
      <c r="P27" s="43">
        <f t="shared" si="28"/>
        <v>0</v>
      </c>
      <c r="Q27" s="30">
        <f t="shared" si="47"/>
        <v>0</v>
      </c>
      <c r="R27" s="25">
        <f t="shared" si="29"/>
        <v>0</v>
      </c>
      <c r="S27" s="30">
        <f t="shared" si="30"/>
        <v>32.450000000000003</v>
      </c>
      <c r="T27" s="36">
        <f t="shared" si="31"/>
        <v>423.14800000000002</v>
      </c>
      <c r="U27" s="30"/>
      <c r="V27" s="43">
        <f t="shared" si="32"/>
        <v>0</v>
      </c>
      <c r="W27" s="30">
        <f t="shared" si="33"/>
        <v>0</v>
      </c>
      <c r="X27" s="47">
        <f t="shared" si="34"/>
        <v>0</v>
      </c>
      <c r="Y27" s="30">
        <f t="shared" si="35"/>
        <v>32.450000000000003</v>
      </c>
      <c r="Z27" s="36">
        <f t="shared" si="36"/>
        <v>423.14800000000002</v>
      </c>
      <c r="AA27" s="52"/>
      <c r="AB27" s="43">
        <f t="shared" si="37"/>
        <v>0</v>
      </c>
      <c r="AC27" s="30"/>
      <c r="AD27" s="43"/>
      <c r="AE27" s="30">
        <f t="shared" si="38"/>
        <v>0</v>
      </c>
      <c r="AF27" s="47">
        <f t="shared" si="39"/>
        <v>0</v>
      </c>
      <c r="AG27" s="30">
        <f t="shared" si="40"/>
        <v>32.450000000000003</v>
      </c>
      <c r="AH27" s="36">
        <f t="shared" si="41"/>
        <v>423.14800000000002</v>
      </c>
      <c r="AI27" s="52"/>
      <c r="AJ27" s="43">
        <f t="shared" si="42"/>
        <v>0</v>
      </c>
      <c r="AK27" s="30"/>
      <c r="AL27" s="43"/>
      <c r="AM27" s="30">
        <f t="shared" si="43"/>
        <v>0</v>
      </c>
      <c r="AN27" s="47">
        <f t="shared" si="44"/>
        <v>0</v>
      </c>
      <c r="AO27" s="30">
        <f t="shared" si="45"/>
        <v>32.450000000000003</v>
      </c>
      <c r="AP27" s="36">
        <f t="shared" si="46"/>
        <v>423.14800000000002</v>
      </c>
    </row>
    <row r="28" spans="1:42" ht="39" customHeight="1" x14ac:dyDescent="0.25">
      <c r="A28" s="92" t="s">
        <v>631</v>
      </c>
      <c r="B28" s="12" t="s">
        <v>68</v>
      </c>
      <c r="C28" s="11" t="s">
        <v>26</v>
      </c>
      <c r="D28" s="11" t="s">
        <v>69</v>
      </c>
      <c r="E28" s="13" t="s">
        <v>65</v>
      </c>
      <c r="F28" s="62">
        <v>312.26</v>
      </c>
      <c r="G28" s="14">
        <v>9.39</v>
      </c>
      <c r="H28" s="14">
        <v>11.49</v>
      </c>
      <c r="I28" s="14">
        <v>3587.86</v>
      </c>
      <c r="J28" s="28">
        <v>2.5609279086366882E-3</v>
      </c>
      <c r="K28" s="186"/>
      <c r="L28" s="186"/>
      <c r="M28" s="186"/>
      <c r="N28" s="186"/>
      <c r="O28" s="30"/>
      <c r="P28" s="43">
        <f t="shared" si="28"/>
        <v>0</v>
      </c>
      <c r="Q28" s="30">
        <f t="shared" si="47"/>
        <v>0</v>
      </c>
      <c r="R28" s="25">
        <f t="shared" si="29"/>
        <v>0</v>
      </c>
      <c r="S28" s="30">
        <f t="shared" si="30"/>
        <v>312.26</v>
      </c>
      <c r="T28" s="36">
        <f t="shared" si="31"/>
        <v>3587.8674000000001</v>
      </c>
      <c r="U28" s="97">
        <f>'MEMORIA DE CALCULO'!H210</f>
        <v>312.26</v>
      </c>
      <c r="V28" s="43">
        <f t="shared" si="32"/>
        <v>3587.8674000000001</v>
      </c>
      <c r="W28" s="30">
        <f t="shared" si="33"/>
        <v>312.26</v>
      </c>
      <c r="X28" s="47">
        <f t="shared" si="34"/>
        <v>1.7742045454545454</v>
      </c>
      <c r="Y28" s="30">
        <f t="shared" si="35"/>
        <v>0</v>
      </c>
      <c r="Z28" s="36">
        <f t="shared" si="36"/>
        <v>0</v>
      </c>
      <c r="AA28" s="52"/>
      <c r="AB28" s="43">
        <f t="shared" si="37"/>
        <v>0</v>
      </c>
      <c r="AC28" s="30"/>
      <c r="AD28" s="43"/>
      <c r="AE28" s="30">
        <f t="shared" si="38"/>
        <v>312.26</v>
      </c>
      <c r="AF28" s="47">
        <f t="shared" si="39"/>
        <v>1.7742045454545454</v>
      </c>
      <c r="AG28" s="30">
        <f t="shared" si="40"/>
        <v>0</v>
      </c>
      <c r="AH28" s="36">
        <f t="shared" si="41"/>
        <v>0</v>
      </c>
      <c r="AI28" s="52"/>
      <c r="AJ28" s="43">
        <f t="shared" si="42"/>
        <v>0</v>
      </c>
      <c r="AK28" s="30"/>
      <c r="AL28" s="43"/>
      <c r="AM28" s="30">
        <f t="shared" si="43"/>
        <v>312.26</v>
      </c>
      <c r="AN28" s="47">
        <f t="shared" si="44"/>
        <v>1.7742045454545454</v>
      </c>
      <c r="AO28" s="30">
        <f t="shared" si="45"/>
        <v>0</v>
      </c>
      <c r="AP28" s="36">
        <f t="shared" si="46"/>
        <v>0</v>
      </c>
    </row>
    <row r="29" spans="1:42" ht="39" customHeight="1" x14ac:dyDescent="0.25">
      <c r="A29" s="92" t="s">
        <v>632</v>
      </c>
      <c r="B29" s="12" t="s">
        <v>70</v>
      </c>
      <c r="C29" s="11" t="s">
        <v>26</v>
      </c>
      <c r="D29" s="11" t="s">
        <v>71</v>
      </c>
      <c r="E29" s="13" t="s">
        <v>65</v>
      </c>
      <c r="F29" s="62">
        <v>32.64</v>
      </c>
      <c r="G29" s="14">
        <v>7.82</v>
      </c>
      <c r="H29" s="14">
        <v>9.57</v>
      </c>
      <c r="I29" s="14">
        <v>312.36</v>
      </c>
      <c r="J29" s="28">
        <v>2.2295503211991434E-4</v>
      </c>
      <c r="K29" s="186"/>
      <c r="L29" s="186"/>
      <c r="M29" s="186"/>
      <c r="N29" s="186"/>
      <c r="O29" s="30"/>
      <c r="P29" s="43">
        <f t="shared" si="28"/>
        <v>0</v>
      </c>
      <c r="Q29" s="30">
        <f t="shared" si="47"/>
        <v>0</v>
      </c>
      <c r="R29" s="25">
        <f t="shared" si="29"/>
        <v>0</v>
      </c>
      <c r="S29" s="30">
        <f t="shared" si="30"/>
        <v>32.64</v>
      </c>
      <c r="T29" s="36">
        <f t="shared" si="31"/>
        <v>312.3648</v>
      </c>
      <c r="U29" s="30"/>
      <c r="V29" s="43">
        <f t="shared" si="32"/>
        <v>0</v>
      </c>
      <c r="W29" s="30">
        <f t="shared" si="33"/>
        <v>0</v>
      </c>
      <c r="X29" s="47">
        <f t="shared" si="34"/>
        <v>0</v>
      </c>
      <c r="Y29" s="30">
        <f t="shared" si="35"/>
        <v>32.64</v>
      </c>
      <c r="Z29" s="36">
        <f t="shared" si="36"/>
        <v>312.3648</v>
      </c>
      <c r="AA29" s="52"/>
      <c r="AB29" s="43">
        <f t="shared" si="37"/>
        <v>0</v>
      </c>
      <c r="AC29" s="30"/>
      <c r="AD29" s="43"/>
      <c r="AE29" s="30">
        <f t="shared" si="38"/>
        <v>0</v>
      </c>
      <c r="AF29" s="47">
        <f t="shared" si="39"/>
        <v>0</v>
      </c>
      <c r="AG29" s="30">
        <f t="shared" si="40"/>
        <v>32.64</v>
      </c>
      <c r="AH29" s="36">
        <f t="shared" si="41"/>
        <v>312.3648</v>
      </c>
      <c r="AI29" s="52"/>
      <c r="AJ29" s="43">
        <f t="shared" si="42"/>
        <v>0</v>
      </c>
      <c r="AK29" s="30"/>
      <c r="AL29" s="43"/>
      <c r="AM29" s="30">
        <f t="shared" si="43"/>
        <v>0</v>
      </c>
      <c r="AN29" s="47">
        <f t="shared" si="44"/>
        <v>0</v>
      </c>
      <c r="AO29" s="30">
        <f t="shared" si="45"/>
        <v>32.64</v>
      </c>
      <c r="AP29" s="36">
        <f t="shared" si="46"/>
        <v>312.3648</v>
      </c>
    </row>
    <row r="30" spans="1:42" ht="39" customHeight="1" x14ac:dyDescent="0.25">
      <c r="A30" s="92" t="s">
        <v>633</v>
      </c>
      <c r="B30" s="12" t="s">
        <v>72</v>
      </c>
      <c r="C30" s="11" t="s">
        <v>26</v>
      </c>
      <c r="D30" s="11" t="s">
        <v>73</v>
      </c>
      <c r="E30" s="13" t="s">
        <v>65</v>
      </c>
      <c r="F30" s="63">
        <v>307.55</v>
      </c>
      <c r="G30" s="14">
        <v>12.4</v>
      </c>
      <c r="H30" s="14">
        <v>15.18</v>
      </c>
      <c r="I30" s="14">
        <v>4668.6000000000004</v>
      </c>
      <c r="J30" s="28">
        <v>3.3323340471092078E-3</v>
      </c>
      <c r="K30" s="186"/>
      <c r="L30" s="186"/>
      <c r="M30" s="186"/>
      <c r="N30" s="186"/>
      <c r="O30" s="30"/>
      <c r="P30" s="43">
        <f t="shared" si="28"/>
        <v>0</v>
      </c>
      <c r="Q30" s="30">
        <f t="shared" si="47"/>
        <v>0</v>
      </c>
      <c r="R30" s="25">
        <f t="shared" si="29"/>
        <v>0</v>
      </c>
      <c r="S30" s="30">
        <f t="shared" si="30"/>
        <v>307.55</v>
      </c>
      <c r="T30" s="36">
        <f t="shared" si="31"/>
        <v>4668.6090000000004</v>
      </c>
      <c r="U30" s="97">
        <f>'MEMORIA DE CALCULO'!H234</f>
        <v>188.65950795999996</v>
      </c>
      <c r="V30" s="43">
        <f t="shared" si="32"/>
        <v>2863.8513308327992</v>
      </c>
      <c r="W30" s="30">
        <f t="shared" si="33"/>
        <v>188.65950795999996</v>
      </c>
      <c r="X30" s="47">
        <f t="shared" si="34"/>
        <v>1.0719290224999998</v>
      </c>
      <c r="Y30" s="30">
        <f t="shared" si="35"/>
        <v>118.89049204000005</v>
      </c>
      <c r="Z30" s="36">
        <f t="shared" si="36"/>
        <v>1804.7576691672009</v>
      </c>
      <c r="AA30" s="52"/>
      <c r="AB30" s="43">
        <f t="shared" si="37"/>
        <v>0</v>
      </c>
      <c r="AC30" s="30"/>
      <c r="AD30" s="43"/>
      <c r="AE30" s="30">
        <f t="shared" si="38"/>
        <v>188.65950795999996</v>
      </c>
      <c r="AF30" s="47">
        <f t="shared" si="39"/>
        <v>1.0719290224999998</v>
      </c>
      <c r="AG30" s="30">
        <f t="shared" si="40"/>
        <v>118.89049204000005</v>
      </c>
      <c r="AH30" s="36">
        <f t="shared" si="41"/>
        <v>1804.7576691672009</v>
      </c>
      <c r="AI30" s="52"/>
      <c r="AJ30" s="43">
        <f t="shared" si="42"/>
        <v>0</v>
      </c>
      <c r="AK30" s="30"/>
      <c r="AL30" s="43"/>
      <c r="AM30" s="30">
        <f t="shared" si="43"/>
        <v>188.65950795999996</v>
      </c>
      <c r="AN30" s="47">
        <f t="shared" si="44"/>
        <v>1.0719290224999998</v>
      </c>
      <c r="AO30" s="30">
        <f t="shared" si="45"/>
        <v>118.89049204000005</v>
      </c>
      <c r="AP30" s="36">
        <f t="shared" si="46"/>
        <v>1804.7576691672009</v>
      </c>
    </row>
    <row r="31" spans="1:42" ht="14.25" customHeight="1" x14ac:dyDescent="0.25">
      <c r="A31" s="92" t="s">
        <v>634</v>
      </c>
      <c r="B31" s="12" t="s">
        <v>74</v>
      </c>
      <c r="C31" s="11" t="s">
        <v>26</v>
      </c>
      <c r="D31" s="11" t="s">
        <v>75</v>
      </c>
      <c r="E31" s="13" t="s">
        <v>50</v>
      </c>
      <c r="F31" s="62">
        <v>16.12</v>
      </c>
      <c r="G31" s="14">
        <v>438.13</v>
      </c>
      <c r="H31" s="14">
        <v>536.57000000000005</v>
      </c>
      <c r="I31" s="14">
        <v>8649.5</v>
      </c>
      <c r="J31" s="28">
        <v>6.173804425410421E-3</v>
      </c>
      <c r="K31" s="186"/>
      <c r="L31" s="186"/>
      <c r="M31" s="186"/>
      <c r="N31" s="186"/>
      <c r="O31" s="30"/>
      <c r="P31" s="43">
        <f t="shared" si="28"/>
        <v>0</v>
      </c>
      <c r="Q31" s="30">
        <f t="shared" si="47"/>
        <v>0</v>
      </c>
      <c r="R31" s="25">
        <f t="shared" si="29"/>
        <v>0</v>
      </c>
      <c r="S31" s="30">
        <f t="shared" si="30"/>
        <v>16.12</v>
      </c>
      <c r="T31" s="36">
        <f t="shared" si="31"/>
        <v>8649.5084000000006</v>
      </c>
      <c r="U31" s="97">
        <f>'MEMORIA DE CALCULO'!H256</f>
        <v>2.5</v>
      </c>
      <c r="V31" s="43">
        <f t="shared" si="32"/>
        <v>1341.4250000000002</v>
      </c>
      <c r="W31" s="30">
        <f t="shared" si="33"/>
        <v>2.5</v>
      </c>
      <c r="X31" s="47">
        <f t="shared" si="34"/>
        <v>1.4204545454545454E-2</v>
      </c>
      <c r="Y31" s="30">
        <f t="shared" si="35"/>
        <v>13.620000000000001</v>
      </c>
      <c r="Z31" s="36">
        <f t="shared" si="36"/>
        <v>7308.0834000000013</v>
      </c>
      <c r="AA31" s="52"/>
      <c r="AB31" s="43">
        <f t="shared" si="37"/>
        <v>0</v>
      </c>
      <c r="AC31" s="30"/>
      <c r="AD31" s="43"/>
      <c r="AE31" s="30">
        <f t="shared" si="38"/>
        <v>2.5</v>
      </c>
      <c r="AF31" s="47">
        <f t="shared" si="39"/>
        <v>1.4204545454545454E-2</v>
      </c>
      <c r="AG31" s="30">
        <f t="shared" si="40"/>
        <v>13.620000000000001</v>
      </c>
      <c r="AH31" s="36">
        <f t="shared" si="41"/>
        <v>7308.0834000000013</v>
      </c>
      <c r="AI31" s="52"/>
      <c r="AJ31" s="43">
        <f t="shared" si="42"/>
        <v>0</v>
      </c>
      <c r="AK31" s="30"/>
      <c r="AL31" s="43"/>
      <c r="AM31" s="30">
        <f t="shared" si="43"/>
        <v>2.5</v>
      </c>
      <c r="AN31" s="47">
        <f t="shared" si="44"/>
        <v>1.4204545454545454E-2</v>
      </c>
      <c r="AO31" s="30">
        <f t="shared" si="45"/>
        <v>13.620000000000001</v>
      </c>
      <c r="AP31" s="36">
        <f t="shared" si="46"/>
        <v>7308.0834000000013</v>
      </c>
    </row>
    <row r="32" spans="1:42" ht="24" customHeight="1" x14ac:dyDescent="0.25">
      <c r="A32" s="91" t="s">
        <v>76</v>
      </c>
      <c r="B32" s="8"/>
      <c r="C32" s="8"/>
      <c r="D32" s="8" t="s">
        <v>77</v>
      </c>
      <c r="E32" s="8"/>
      <c r="F32" s="9"/>
      <c r="G32" s="8"/>
      <c r="H32" s="8"/>
      <c r="I32" s="10">
        <v>62144.6</v>
      </c>
      <c r="J32" s="27">
        <v>4.4357316202712348E-2</v>
      </c>
      <c r="K32" s="185"/>
      <c r="L32" s="185"/>
      <c r="M32" s="185"/>
      <c r="N32" s="185"/>
      <c r="O32" s="31"/>
      <c r="P32" s="42"/>
      <c r="Q32" s="24"/>
      <c r="R32" s="23"/>
      <c r="S32" s="33"/>
      <c r="T32" s="35">
        <f>SUM(T33:T38)</f>
        <v>62144.625300000007</v>
      </c>
      <c r="U32" s="31"/>
      <c r="V32" s="42"/>
      <c r="W32" s="41"/>
      <c r="X32" s="46"/>
      <c r="Y32" s="33"/>
      <c r="Z32" s="35">
        <f>SUM(Z33:Z38)</f>
        <v>19247.102100000004</v>
      </c>
      <c r="AA32" s="31"/>
      <c r="AB32" s="42"/>
      <c r="AC32" s="31"/>
      <c r="AD32" s="42"/>
      <c r="AE32" s="41"/>
      <c r="AF32" s="46"/>
      <c r="AG32" s="33"/>
      <c r="AH32" s="35">
        <f>SUM(AH33:AH38)</f>
        <v>19247.102100000004</v>
      </c>
      <c r="AI32" s="31"/>
      <c r="AJ32" s="42"/>
      <c r="AK32" s="31"/>
      <c r="AL32" s="42"/>
      <c r="AM32" s="41"/>
      <c r="AN32" s="46"/>
      <c r="AO32" s="33"/>
      <c r="AP32" s="35">
        <f>SUM(AP33:AP38)</f>
        <v>19247.102100000004</v>
      </c>
    </row>
    <row r="33" spans="1:42" ht="39" customHeight="1" x14ac:dyDescent="0.25">
      <c r="A33" s="92" t="s">
        <v>635</v>
      </c>
      <c r="B33" s="12" t="s">
        <v>78</v>
      </c>
      <c r="C33" s="11" t="s">
        <v>26</v>
      </c>
      <c r="D33" s="11" t="s">
        <v>79</v>
      </c>
      <c r="E33" s="13" t="s">
        <v>24</v>
      </c>
      <c r="F33" s="12">
        <v>463.48</v>
      </c>
      <c r="G33" s="14">
        <v>52.7</v>
      </c>
      <c r="H33" s="14">
        <v>64.540000000000006</v>
      </c>
      <c r="I33" s="14">
        <v>29912.99</v>
      </c>
      <c r="J33" s="28">
        <v>2.1351170592433976E-2</v>
      </c>
      <c r="K33" s="186"/>
      <c r="L33" s="186"/>
      <c r="M33" s="186"/>
      <c r="N33" s="186"/>
      <c r="O33" s="30"/>
      <c r="P33" s="43">
        <f t="shared" ref="P33:P38" si="48">O33*H33</f>
        <v>0</v>
      </c>
      <c r="Q33" s="30">
        <f>O33</f>
        <v>0</v>
      </c>
      <c r="R33" s="25">
        <f t="shared" ref="R33:R38" si="49">Q33/F33</f>
        <v>0</v>
      </c>
      <c r="S33" s="30">
        <f t="shared" ref="S33:S38" si="50">F33-Q33</f>
        <v>463.48</v>
      </c>
      <c r="T33" s="36">
        <f t="shared" ref="T33:T38" si="51">S33*H33</f>
        <v>29912.999200000006</v>
      </c>
      <c r="U33" s="97">
        <f>'MEMORIA DE CALCULO'!H271</f>
        <v>405.84</v>
      </c>
      <c r="V33" s="43">
        <f t="shared" ref="V33:V38" si="52">U33*H33</f>
        <v>26192.9136</v>
      </c>
      <c r="W33" s="30">
        <f t="shared" ref="W33:W38" si="53">Q33+U33</f>
        <v>405.84</v>
      </c>
      <c r="X33" s="47">
        <f t="shared" ref="X33:X38" si="54">W33/$F$8</f>
        <v>2.3059090909090907</v>
      </c>
      <c r="Y33" s="30">
        <f t="shared" ref="Y33:Y38" si="55">F33-W33</f>
        <v>57.640000000000043</v>
      </c>
      <c r="Z33" s="36">
        <f t="shared" ref="Z33:Z38" si="56">Y33*H33</f>
        <v>3720.0856000000031</v>
      </c>
      <c r="AA33" s="52"/>
      <c r="AB33" s="43">
        <f t="shared" ref="AB33:AB38" si="57">AA33*H33</f>
        <v>0</v>
      </c>
      <c r="AC33" s="30"/>
      <c r="AD33" s="43"/>
      <c r="AE33" s="30">
        <f t="shared" ref="AE33:AE38" si="58">W33+AC33</f>
        <v>405.84</v>
      </c>
      <c r="AF33" s="47">
        <f t="shared" ref="AF33:AF38" si="59">AE33/$F$8</f>
        <v>2.3059090909090907</v>
      </c>
      <c r="AG33" s="30">
        <f t="shared" ref="AG33:AG38" si="60">F33-AE33</f>
        <v>57.640000000000043</v>
      </c>
      <c r="AH33" s="36">
        <f t="shared" ref="AH33:AH38" si="61">AG33*H33</f>
        <v>3720.0856000000031</v>
      </c>
      <c r="AI33" s="52"/>
      <c r="AJ33" s="43">
        <f t="shared" ref="AJ33:AJ38" si="62">AI33*T33</f>
        <v>0</v>
      </c>
      <c r="AK33" s="30"/>
      <c r="AL33" s="43"/>
      <c r="AM33" s="30">
        <f t="shared" ref="AM33:AM38" si="63">AE33+AK33</f>
        <v>405.84</v>
      </c>
      <c r="AN33" s="47">
        <f t="shared" ref="AN33:AN43" si="64">AM33/$F$8</f>
        <v>2.3059090909090907</v>
      </c>
      <c r="AO33" s="30">
        <f t="shared" ref="AO33:AO38" si="65">F33-AM33</f>
        <v>57.640000000000043</v>
      </c>
      <c r="AP33" s="36">
        <f t="shared" ref="AP33:AP38" si="66">AO33*H33</f>
        <v>3720.0856000000031</v>
      </c>
    </row>
    <row r="34" spans="1:42" ht="39" customHeight="1" x14ac:dyDescent="0.25">
      <c r="A34" s="92" t="s">
        <v>640</v>
      </c>
      <c r="B34" s="12" t="s">
        <v>63</v>
      </c>
      <c r="C34" s="11" t="s">
        <v>26</v>
      </c>
      <c r="D34" s="11" t="s">
        <v>64</v>
      </c>
      <c r="E34" s="13" t="s">
        <v>65</v>
      </c>
      <c r="F34" s="64">
        <v>0.73</v>
      </c>
      <c r="G34" s="14">
        <v>11.54</v>
      </c>
      <c r="H34" s="14">
        <v>14.13</v>
      </c>
      <c r="I34" s="14">
        <v>10.31</v>
      </c>
      <c r="J34" s="28">
        <v>7.359029264810849E-6</v>
      </c>
      <c r="K34" s="186"/>
      <c r="L34" s="186"/>
      <c r="M34" s="186"/>
      <c r="N34" s="186"/>
      <c r="O34" s="30"/>
      <c r="P34" s="43">
        <f t="shared" si="48"/>
        <v>0</v>
      </c>
      <c r="Q34" s="30">
        <f>O34</f>
        <v>0</v>
      </c>
      <c r="R34" s="25">
        <f t="shared" si="49"/>
        <v>0</v>
      </c>
      <c r="S34" s="30">
        <f t="shared" si="50"/>
        <v>0.73</v>
      </c>
      <c r="T34" s="36">
        <f t="shared" si="51"/>
        <v>10.3149</v>
      </c>
      <c r="U34" s="30"/>
      <c r="V34" s="43">
        <f t="shared" si="52"/>
        <v>0</v>
      </c>
      <c r="W34" s="30">
        <f t="shared" si="53"/>
        <v>0</v>
      </c>
      <c r="X34" s="47">
        <f t="shared" si="54"/>
        <v>0</v>
      </c>
      <c r="Y34" s="30">
        <f t="shared" si="55"/>
        <v>0.73</v>
      </c>
      <c r="Z34" s="36">
        <f t="shared" si="56"/>
        <v>10.3149</v>
      </c>
      <c r="AA34" s="52"/>
      <c r="AB34" s="43">
        <f t="shared" si="57"/>
        <v>0</v>
      </c>
      <c r="AC34" s="30"/>
      <c r="AD34" s="43"/>
      <c r="AE34" s="30">
        <f t="shared" si="58"/>
        <v>0</v>
      </c>
      <c r="AF34" s="47">
        <f t="shared" si="59"/>
        <v>0</v>
      </c>
      <c r="AG34" s="30">
        <f t="shared" si="60"/>
        <v>0.73</v>
      </c>
      <c r="AH34" s="36">
        <f t="shared" si="61"/>
        <v>10.3149</v>
      </c>
      <c r="AI34" s="52"/>
      <c r="AJ34" s="43">
        <f t="shared" si="62"/>
        <v>0</v>
      </c>
      <c r="AK34" s="30"/>
      <c r="AL34" s="43"/>
      <c r="AM34" s="30">
        <f t="shared" si="63"/>
        <v>0</v>
      </c>
      <c r="AN34" s="47">
        <f t="shared" si="64"/>
        <v>0</v>
      </c>
      <c r="AO34" s="30">
        <f t="shared" si="65"/>
        <v>0.73</v>
      </c>
      <c r="AP34" s="36">
        <f t="shared" si="66"/>
        <v>10.3149</v>
      </c>
    </row>
    <row r="35" spans="1:42" ht="39" customHeight="1" x14ac:dyDescent="0.25">
      <c r="A35" s="92" t="s">
        <v>641</v>
      </c>
      <c r="B35" s="12" t="s">
        <v>66</v>
      </c>
      <c r="C35" s="11" t="s">
        <v>26</v>
      </c>
      <c r="D35" s="11" t="s">
        <v>67</v>
      </c>
      <c r="E35" s="13" t="s">
        <v>65</v>
      </c>
      <c r="F35" s="63">
        <v>829.82</v>
      </c>
      <c r="G35" s="14">
        <v>10.65</v>
      </c>
      <c r="H35" s="14">
        <v>13.04</v>
      </c>
      <c r="I35" s="14">
        <v>10820.85</v>
      </c>
      <c r="J35" s="28">
        <v>7.7236616702355465E-3</v>
      </c>
      <c r="K35" s="186"/>
      <c r="L35" s="186"/>
      <c r="M35" s="186"/>
      <c r="N35" s="186"/>
      <c r="O35" s="30"/>
      <c r="P35" s="43">
        <f t="shared" si="48"/>
        <v>0</v>
      </c>
      <c r="Q35" s="30">
        <f t="shared" ref="Q35:Q38" si="67">O35</f>
        <v>0</v>
      </c>
      <c r="R35" s="25">
        <f t="shared" si="49"/>
        <v>0</v>
      </c>
      <c r="S35" s="30">
        <f t="shared" si="50"/>
        <v>829.82</v>
      </c>
      <c r="T35" s="36">
        <f t="shared" si="51"/>
        <v>10820.852800000001</v>
      </c>
      <c r="U35" s="97">
        <f>'MEMORIA DE CALCULO'!H287</f>
        <v>417.5</v>
      </c>
      <c r="V35" s="43">
        <f t="shared" si="52"/>
        <v>5444.2</v>
      </c>
      <c r="W35" s="30">
        <f t="shared" si="53"/>
        <v>417.5</v>
      </c>
      <c r="X35" s="47">
        <f t="shared" si="54"/>
        <v>2.3721590909090908</v>
      </c>
      <c r="Y35" s="30">
        <f t="shared" si="55"/>
        <v>412.32000000000005</v>
      </c>
      <c r="Z35" s="36">
        <f t="shared" si="56"/>
        <v>5376.6528000000008</v>
      </c>
      <c r="AA35" s="52"/>
      <c r="AB35" s="43">
        <f t="shared" si="57"/>
        <v>0</v>
      </c>
      <c r="AC35" s="30"/>
      <c r="AD35" s="43"/>
      <c r="AE35" s="30">
        <f t="shared" si="58"/>
        <v>417.5</v>
      </c>
      <c r="AF35" s="47">
        <f t="shared" si="59"/>
        <v>2.3721590909090908</v>
      </c>
      <c r="AG35" s="30">
        <f t="shared" si="60"/>
        <v>412.32000000000005</v>
      </c>
      <c r="AH35" s="36">
        <f t="shared" si="61"/>
        <v>5376.6528000000008</v>
      </c>
      <c r="AI35" s="52"/>
      <c r="AJ35" s="43">
        <f t="shared" si="62"/>
        <v>0</v>
      </c>
      <c r="AK35" s="30"/>
      <c r="AL35" s="43"/>
      <c r="AM35" s="30">
        <f t="shared" si="63"/>
        <v>417.5</v>
      </c>
      <c r="AN35" s="47">
        <f t="shared" si="64"/>
        <v>2.3721590909090908</v>
      </c>
      <c r="AO35" s="30">
        <f t="shared" si="65"/>
        <v>412.32000000000005</v>
      </c>
      <c r="AP35" s="36">
        <f t="shared" si="66"/>
        <v>5376.6528000000008</v>
      </c>
    </row>
    <row r="36" spans="1:42" ht="39" customHeight="1" x14ac:dyDescent="0.25">
      <c r="A36" s="92" t="s">
        <v>642</v>
      </c>
      <c r="B36" s="12" t="s">
        <v>68</v>
      </c>
      <c r="C36" s="11" t="s">
        <v>26</v>
      </c>
      <c r="D36" s="11" t="s">
        <v>69</v>
      </c>
      <c r="E36" s="13" t="s">
        <v>65</v>
      </c>
      <c r="F36" s="63">
        <v>100.82</v>
      </c>
      <c r="G36" s="14">
        <v>9.39</v>
      </c>
      <c r="H36" s="14">
        <v>11.49</v>
      </c>
      <c r="I36" s="14">
        <v>1158.42</v>
      </c>
      <c r="J36" s="28">
        <v>8.2685224839400425E-4</v>
      </c>
      <c r="K36" s="186"/>
      <c r="L36" s="186"/>
      <c r="M36" s="186"/>
      <c r="N36" s="186"/>
      <c r="O36" s="30"/>
      <c r="P36" s="43">
        <f t="shared" si="48"/>
        <v>0</v>
      </c>
      <c r="Q36" s="30">
        <f t="shared" si="67"/>
        <v>0</v>
      </c>
      <c r="R36" s="25">
        <f t="shared" si="49"/>
        <v>0</v>
      </c>
      <c r="S36" s="30">
        <f t="shared" si="50"/>
        <v>100.82</v>
      </c>
      <c r="T36" s="36">
        <f t="shared" si="51"/>
        <v>1158.4217999999998</v>
      </c>
      <c r="U36" s="30"/>
      <c r="V36" s="43">
        <f t="shared" si="52"/>
        <v>0</v>
      </c>
      <c r="W36" s="30">
        <f t="shared" si="53"/>
        <v>0</v>
      </c>
      <c r="X36" s="47">
        <f t="shared" si="54"/>
        <v>0</v>
      </c>
      <c r="Y36" s="30">
        <f t="shared" si="55"/>
        <v>100.82</v>
      </c>
      <c r="Z36" s="36">
        <f t="shared" si="56"/>
        <v>1158.4217999999998</v>
      </c>
      <c r="AA36" s="52"/>
      <c r="AB36" s="43">
        <f t="shared" si="57"/>
        <v>0</v>
      </c>
      <c r="AC36" s="30"/>
      <c r="AD36" s="43"/>
      <c r="AE36" s="30">
        <f t="shared" si="58"/>
        <v>0</v>
      </c>
      <c r="AF36" s="47">
        <f t="shared" si="59"/>
        <v>0</v>
      </c>
      <c r="AG36" s="30">
        <f t="shared" si="60"/>
        <v>100.82</v>
      </c>
      <c r="AH36" s="36">
        <f t="shared" si="61"/>
        <v>1158.4217999999998</v>
      </c>
      <c r="AI36" s="52"/>
      <c r="AJ36" s="43">
        <f t="shared" si="62"/>
        <v>0</v>
      </c>
      <c r="AK36" s="30"/>
      <c r="AL36" s="43"/>
      <c r="AM36" s="30">
        <f t="shared" si="63"/>
        <v>0</v>
      </c>
      <c r="AN36" s="47">
        <f t="shared" si="64"/>
        <v>0</v>
      </c>
      <c r="AO36" s="30">
        <f t="shared" si="65"/>
        <v>100.82</v>
      </c>
      <c r="AP36" s="36">
        <f t="shared" si="66"/>
        <v>1158.4217999999998</v>
      </c>
    </row>
    <row r="37" spans="1:42" ht="39" customHeight="1" x14ac:dyDescent="0.25">
      <c r="A37" s="92" t="s">
        <v>643</v>
      </c>
      <c r="B37" s="12" t="s">
        <v>72</v>
      </c>
      <c r="C37" s="11" t="s">
        <v>26</v>
      </c>
      <c r="D37" s="11" t="s">
        <v>73</v>
      </c>
      <c r="E37" s="13" t="s">
        <v>65</v>
      </c>
      <c r="F37" s="63">
        <v>395</v>
      </c>
      <c r="G37" s="14">
        <v>12.4</v>
      </c>
      <c r="H37" s="14">
        <v>15.18</v>
      </c>
      <c r="I37" s="14">
        <v>5996.1</v>
      </c>
      <c r="J37" s="28">
        <v>4.2798715203426121E-3</v>
      </c>
      <c r="K37" s="186"/>
      <c r="L37" s="186"/>
      <c r="M37" s="186"/>
      <c r="N37" s="186"/>
      <c r="O37" s="30"/>
      <c r="P37" s="43">
        <f t="shared" si="48"/>
        <v>0</v>
      </c>
      <c r="Q37" s="30">
        <f t="shared" si="67"/>
        <v>0</v>
      </c>
      <c r="R37" s="25">
        <f t="shared" si="49"/>
        <v>0</v>
      </c>
      <c r="S37" s="30">
        <f t="shared" si="50"/>
        <v>395</v>
      </c>
      <c r="T37" s="36">
        <f t="shared" si="51"/>
        <v>5996.0999999999995</v>
      </c>
      <c r="U37" s="97">
        <f>'MEMORIA DE CALCULO'!H313</f>
        <v>226.98000000000002</v>
      </c>
      <c r="V37" s="43">
        <f t="shared" si="52"/>
        <v>3445.5564000000004</v>
      </c>
      <c r="W37" s="30">
        <f t="shared" si="53"/>
        <v>226.98000000000002</v>
      </c>
      <c r="X37" s="47">
        <f t="shared" si="54"/>
        <v>1.289659090909091</v>
      </c>
      <c r="Y37" s="30">
        <f t="shared" si="55"/>
        <v>168.01999999999998</v>
      </c>
      <c r="Z37" s="36">
        <f t="shared" si="56"/>
        <v>2550.5435999999995</v>
      </c>
      <c r="AA37" s="52"/>
      <c r="AB37" s="43">
        <f t="shared" si="57"/>
        <v>0</v>
      </c>
      <c r="AC37" s="30"/>
      <c r="AD37" s="43"/>
      <c r="AE37" s="30">
        <f t="shared" si="58"/>
        <v>226.98000000000002</v>
      </c>
      <c r="AF37" s="47">
        <f t="shared" si="59"/>
        <v>1.289659090909091</v>
      </c>
      <c r="AG37" s="30">
        <f t="shared" si="60"/>
        <v>168.01999999999998</v>
      </c>
      <c r="AH37" s="36">
        <f t="shared" si="61"/>
        <v>2550.5435999999995</v>
      </c>
      <c r="AI37" s="52"/>
      <c r="AJ37" s="43">
        <f t="shared" si="62"/>
        <v>0</v>
      </c>
      <c r="AK37" s="30"/>
      <c r="AL37" s="43"/>
      <c r="AM37" s="30">
        <f t="shared" si="63"/>
        <v>226.98000000000002</v>
      </c>
      <c r="AN37" s="47">
        <f t="shared" si="64"/>
        <v>1.289659090909091</v>
      </c>
      <c r="AO37" s="30">
        <f t="shared" si="65"/>
        <v>168.01999999999998</v>
      </c>
      <c r="AP37" s="36">
        <f t="shared" si="66"/>
        <v>2550.5435999999995</v>
      </c>
    </row>
    <row r="38" spans="1:42" ht="39" customHeight="1" x14ac:dyDescent="0.25">
      <c r="A38" s="92" t="s">
        <v>644</v>
      </c>
      <c r="B38" s="12" t="s">
        <v>80</v>
      </c>
      <c r="C38" s="11" t="s">
        <v>26</v>
      </c>
      <c r="D38" s="11" t="s">
        <v>81</v>
      </c>
      <c r="E38" s="13" t="s">
        <v>50</v>
      </c>
      <c r="F38" s="63">
        <v>26.87</v>
      </c>
      <c r="G38" s="14">
        <v>432.91</v>
      </c>
      <c r="H38" s="14">
        <v>530.17999999999995</v>
      </c>
      <c r="I38" s="14">
        <v>14245.93</v>
      </c>
      <c r="J38" s="28">
        <v>1.0168401142041398E-2</v>
      </c>
      <c r="K38" s="186"/>
      <c r="L38" s="186"/>
      <c r="M38" s="186"/>
      <c r="N38" s="186"/>
      <c r="O38" s="30"/>
      <c r="P38" s="43">
        <f t="shared" si="48"/>
        <v>0</v>
      </c>
      <c r="Q38" s="30">
        <f t="shared" si="67"/>
        <v>0</v>
      </c>
      <c r="R38" s="25">
        <f t="shared" si="49"/>
        <v>0</v>
      </c>
      <c r="S38" s="30">
        <f t="shared" si="50"/>
        <v>26.87</v>
      </c>
      <c r="T38" s="36">
        <f t="shared" si="51"/>
        <v>14245.936599999999</v>
      </c>
      <c r="U38" s="97">
        <f>'MEMORIA DE CALCULO'!H329</f>
        <v>14.739999999999998</v>
      </c>
      <c r="V38" s="43">
        <f t="shared" si="52"/>
        <v>7814.8531999999987</v>
      </c>
      <c r="W38" s="30">
        <f t="shared" si="53"/>
        <v>14.739999999999998</v>
      </c>
      <c r="X38" s="47">
        <f t="shared" si="54"/>
        <v>8.3749999999999991E-2</v>
      </c>
      <c r="Y38" s="30">
        <f t="shared" si="55"/>
        <v>12.130000000000003</v>
      </c>
      <c r="Z38" s="36">
        <f t="shared" si="56"/>
        <v>6431.0834000000004</v>
      </c>
      <c r="AA38" s="52"/>
      <c r="AB38" s="43">
        <f t="shared" si="57"/>
        <v>0</v>
      </c>
      <c r="AC38" s="30"/>
      <c r="AD38" s="43"/>
      <c r="AE38" s="30">
        <f t="shared" si="58"/>
        <v>14.739999999999998</v>
      </c>
      <c r="AF38" s="47">
        <f t="shared" si="59"/>
        <v>8.3749999999999991E-2</v>
      </c>
      <c r="AG38" s="30">
        <f t="shared" si="60"/>
        <v>12.130000000000003</v>
      </c>
      <c r="AH38" s="36">
        <f t="shared" si="61"/>
        <v>6431.0834000000004</v>
      </c>
      <c r="AI38" s="52"/>
      <c r="AJ38" s="43">
        <f t="shared" si="62"/>
        <v>0</v>
      </c>
      <c r="AK38" s="30"/>
      <c r="AL38" s="43"/>
      <c r="AM38" s="30">
        <f t="shared" si="63"/>
        <v>14.739999999999998</v>
      </c>
      <c r="AN38" s="47">
        <f t="shared" si="64"/>
        <v>8.3749999999999991E-2</v>
      </c>
      <c r="AO38" s="30">
        <f t="shared" si="65"/>
        <v>12.130000000000003</v>
      </c>
      <c r="AP38" s="36">
        <f t="shared" si="66"/>
        <v>6431.0834000000004</v>
      </c>
    </row>
    <row r="39" spans="1:42" ht="25.5" customHeight="1" x14ac:dyDescent="0.25">
      <c r="A39" s="91" t="s">
        <v>82</v>
      </c>
      <c r="B39" s="8"/>
      <c r="C39" s="8"/>
      <c r="D39" s="8" t="s">
        <v>83</v>
      </c>
      <c r="E39" s="8"/>
      <c r="F39" s="9"/>
      <c r="G39" s="8"/>
      <c r="H39" s="8"/>
      <c r="I39" s="10">
        <v>7800.67</v>
      </c>
      <c r="J39" s="27">
        <v>5.5679300499643109E-3</v>
      </c>
      <c r="K39" s="185"/>
      <c r="L39" s="185"/>
      <c r="M39" s="185"/>
      <c r="N39" s="185"/>
      <c r="O39" s="32"/>
      <c r="P39" s="44"/>
      <c r="Q39" s="22"/>
      <c r="R39" s="22"/>
      <c r="S39" s="32"/>
      <c r="T39" s="37">
        <f>SUM(T40:T43)</f>
        <v>7800.6764000000003</v>
      </c>
      <c r="U39" s="32"/>
      <c r="V39" s="44"/>
      <c r="W39" s="32"/>
      <c r="X39" s="48"/>
      <c r="Y39" s="32"/>
      <c r="Z39" s="37">
        <f>SUM(Z40:Z43)</f>
        <v>7800.6764000000003</v>
      </c>
      <c r="AA39" s="53"/>
      <c r="AB39" s="44"/>
      <c r="AC39" s="32"/>
      <c r="AD39" s="44"/>
      <c r="AE39" s="32"/>
      <c r="AF39" s="48"/>
      <c r="AG39" s="32"/>
      <c r="AH39" s="37">
        <f>SUM(AH40:AH43)</f>
        <v>7800.6764000000003</v>
      </c>
      <c r="AI39" s="53"/>
      <c r="AJ39" s="44"/>
      <c r="AK39" s="32"/>
      <c r="AL39" s="44"/>
      <c r="AM39" s="32"/>
      <c r="AN39" s="48"/>
      <c r="AO39" s="32"/>
      <c r="AP39" s="37">
        <f>SUM(AP40:AP43)</f>
        <v>7800.6764000000003</v>
      </c>
    </row>
    <row r="40" spans="1:42" ht="14.25" customHeight="1" x14ac:dyDescent="0.25">
      <c r="A40" s="92" t="s">
        <v>645</v>
      </c>
      <c r="B40" s="12" t="s">
        <v>61</v>
      </c>
      <c r="C40" s="11" t="s">
        <v>26</v>
      </c>
      <c r="D40" s="11" t="s">
        <v>62</v>
      </c>
      <c r="E40" s="13" t="s">
        <v>24</v>
      </c>
      <c r="F40" s="12">
        <v>5.6</v>
      </c>
      <c r="G40" s="14">
        <v>104.74</v>
      </c>
      <c r="H40" s="14">
        <v>128.27000000000001</v>
      </c>
      <c r="I40" s="14">
        <v>718.31</v>
      </c>
      <c r="J40" s="28">
        <v>5.1271234832262673E-4</v>
      </c>
      <c r="K40" s="186"/>
      <c r="L40" s="186"/>
      <c r="M40" s="186"/>
      <c r="N40" s="186"/>
      <c r="O40" s="30"/>
      <c r="P40" s="43">
        <f t="shared" ref="P40:P43" si="68">O40*H40</f>
        <v>0</v>
      </c>
      <c r="Q40" s="30">
        <f>O40</f>
        <v>0</v>
      </c>
      <c r="R40" s="25">
        <f>Q40/F40</f>
        <v>0</v>
      </c>
      <c r="S40" s="30">
        <f>F40-Q40</f>
        <v>5.6</v>
      </c>
      <c r="T40" s="36">
        <f>S40*H40</f>
        <v>718.31200000000001</v>
      </c>
      <c r="U40" s="30"/>
      <c r="V40" s="43">
        <f>U40*H40</f>
        <v>0</v>
      </c>
      <c r="W40" s="30">
        <f t="shared" ref="W40:W43" si="69">Q40+U40</f>
        <v>0</v>
      </c>
      <c r="X40" s="47">
        <f t="shared" ref="X40:X43" si="70">W40/$F$8</f>
        <v>0</v>
      </c>
      <c r="Y40" s="30">
        <f t="shared" ref="Y40:Y43" si="71">F40-W40</f>
        <v>5.6</v>
      </c>
      <c r="Z40" s="36">
        <f>Y40*H40</f>
        <v>718.31200000000001</v>
      </c>
      <c r="AA40" s="52"/>
      <c r="AB40" s="43">
        <f>AA40*H40</f>
        <v>0</v>
      </c>
      <c r="AC40" s="30"/>
      <c r="AD40" s="43"/>
      <c r="AE40" s="30">
        <f t="shared" ref="AE40:AE43" si="72">W40+AC40</f>
        <v>0</v>
      </c>
      <c r="AF40" s="47">
        <f t="shared" ref="AF40:AF43" si="73">AE40/$F$8</f>
        <v>0</v>
      </c>
      <c r="AG40" s="30">
        <f t="shared" ref="AG40:AG43" si="74">F40-AE40</f>
        <v>5.6</v>
      </c>
      <c r="AH40" s="36">
        <f>AG40*H40</f>
        <v>718.31200000000001</v>
      </c>
      <c r="AI40" s="52"/>
      <c r="AJ40" s="43">
        <f t="shared" ref="AJ40:AJ43" si="75">AI40*T40</f>
        <v>0</v>
      </c>
      <c r="AK40" s="30"/>
      <c r="AL40" s="43"/>
      <c r="AM40" s="30">
        <f t="shared" ref="AM40:AM43" si="76">AE40+AK40</f>
        <v>0</v>
      </c>
      <c r="AN40" s="47">
        <f t="shared" si="64"/>
        <v>0</v>
      </c>
      <c r="AO40" s="30">
        <f t="shared" ref="AO40:AO43" si="77">F40-AM40</f>
        <v>5.6</v>
      </c>
      <c r="AP40" s="36">
        <f>AO40*H40</f>
        <v>718.31200000000001</v>
      </c>
    </row>
    <row r="41" spans="1:42" ht="39" customHeight="1" x14ac:dyDescent="0.25">
      <c r="A41" s="92" t="s">
        <v>646</v>
      </c>
      <c r="B41" s="12" t="s">
        <v>68</v>
      </c>
      <c r="C41" s="11" t="s">
        <v>26</v>
      </c>
      <c r="D41" s="11" t="s">
        <v>69</v>
      </c>
      <c r="E41" s="13" t="s">
        <v>65</v>
      </c>
      <c r="F41" s="12">
        <v>325</v>
      </c>
      <c r="G41" s="14">
        <v>9.39</v>
      </c>
      <c r="H41" s="14">
        <v>11.49</v>
      </c>
      <c r="I41" s="14">
        <v>3734.25</v>
      </c>
      <c r="J41" s="28">
        <v>2.6654175588865098E-3</v>
      </c>
      <c r="K41" s="186"/>
      <c r="L41" s="186"/>
      <c r="M41" s="186"/>
      <c r="N41" s="186"/>
      <c r="O41" s="30"/>
      <c r="P41" s="43">
        <f t="shared" si="68"/>
        <v>0</v>
      </c>
      <c r="Q41" s="30">
        <f>O41</f>
        <v>0</v>
      </c>
      <c r="R41" s="25">
        <f>Q41/F41</f>
        <v>0</v>
      </c>
      <c r="S41" s="30">
        <f>F41-Q41</f>
        <v>325</v>
      </c>
      <c r="T41" s="36">
        <f>S41*H41</f>
        <v>3734.25</v>
      </c>
      <c r="U41" s="30"/>
      <c r="V41" s="43">
        <f>U41*H41</f>
        <v>0</v>
      </c>
      <c r="W41" s="30">
        <f t="shared" si="69"/>
        <v>0</v>
      </c>
      <c r="X41" s="47">
        <f t="shared" si="70"/>
        <v>0</v>
      </c>
      <c r="Y41" s="30">
        <f t="shared" si="71"/>
        <v>325</v>
      </c>
      <c r="Z41" s="36">
        <f>Y41*H41</f>
        <v>3734.25</v>
      </c>
      <c r="AA41" s="52"/>
      <c r="AB41" s="43">
        <f>AA41*H41</f>
        <v>0</v>
      </c>
      <c r="AC41" s="30"/>
      <c r="AD41" s="43"/>
      <c r="AE41" s="30">
        <f t="shared" si="72"/>
        <v>0</v>
      </c>
      <c r="AF41" s="47">
        <f t="shared" si="73"/>
        <v>0</v>
      </c>
      <c r="AG41" s="30">
        <f t="shared" si="74"/>
        <v>325</v>
      </c>
      <c r="AH41" s="36">
        <f>AG41*H41</f>
        <v>3734.25</v>
      </c>
      <c r="AI41" s="52"/>
      <c r="AJ41" s="43">
        <f t="shared" si="75"/>
        <v>0</v>
      </c>
      <c r="AK41" s="30"/>
      <c r="AL41" s="43"/>
      <c r="AM41" s="30">
        <f t="shared" si="76"/>
        <v>0</v>
      </c>
      <c r="AN41" s="47">
        <f t="shared" si="64"/>
        <v>0</v>
      </c>
      <c r="AO41" s="30">
        <f t="shared" si="77"/>
        <v>325</v>
      </c>
      <c r="AP41" s="36">
        <f>AO41*H41</f>
        <v>3734.25</v>
      </c>
    </row>
    <row r="42" spans="1:42" ht="39" customHeight="1" x14ac:dyDescent="0.25">
      <c r="A42" s="92" t="s">
        <v>647</v>
      </c>
      <c r="B42" s="12" t="s">
        <v>72</v>
      </c>
      <c r="C42" s="11" t="s">
        <v>26</v>
      </c>
      <c r="D42" s="11" t="s">
        <v>73</v>
      </c>
      <c r="E42" s="13" t="s">
        <v>65</v>
      </c>
      <c r="F42" s="12">
        <v>82</v>
      </c>
      <c r="G42" s="14">
        <v>12.4</v>
      </c>
      <c r="H42" s="14">
        <v>15.18</v>
      </c>
      <c r="I42" s="14">
        <v>1244.76</v>
      </c>
      <c r="J42" s="28">
        <v>8.8847965738758031E-4</v>
      </c>
      <c r="K42" s="186"/>
      <c r="L42" s="186"/>
      <c r="M42" s="186"/>
      <c r="N42" s="186"/>
      <c r="O42" s="30"/>
      <c r="P42" s="43">
        <f t="shared" si="68"/>
        <v>0</v>
      </c>
      <c r="Q42" s="30">
        <f t="shared" ref="Q42:Q43" si="78">O42</f>
        <v>0</v>
      </c>
      <c r="R42" s="25">
        <f>Q42/F42</f>
        <v>0</v>
      </c>
      <c r="S42" s="30">
        <f>F42-Q42</f>
        <v>82</v>
      </c>
      <c r="T42" s="36">
        <f>S42*H42</f>
        <v>1244.76</v>
      </c>
      <c r="U42" s="30"/>
      <c r="V42" s="43">
        <f>U42*H42</f>
        <v>0</v>
      </c>
      <c r="W42" s="30">
        <f t="shared" si="69"/>
        <v>0</v>
      </c>
      <c r="X42" s="47">
        <f t="shared" si="70"/>
        <v>0</v>
      </c>
      <c r="Y42" s="30">
        <f t="shared" si="71"/>
        <v>82</v>
      </c>
      <c r="Z42" s="36">
        <f>Y42*H42</f>
        <v>1244.76</v>
      </c>
      <c r="AA42" s="52"/>
      <c r="AB42" s="43">
        <f>AA42*H42</f>
        <v>0</v>
      </c>
      <c r="AC42" s="30"/>
      <c r="AD42" s="43"/>
      <c r="AE42" s="30">
        <f t="shared" si="72"/>
        <v>0</v>
      </c>
      <c r="AF42" s="47">
        <f t="shared" si="73"/>
        <v>0</v>
      </c>
      <c r="AG42" s="30">
        <f t="shared" si="74"/>
        <v>82</v>
      </c>
      <c r="AH42" s="36">
        <f>AG42*H42</f>
        <v>1244.76</v>
      </c>
      <c r="AI42" s="52"/>
      <c r="AJ42" s="43">
        <f t="shared" si="75"/>
        <v>0</v>
      </c>
      <c r="AK42" s="30"/>
      <c r="AL42" s="43"/>
      <c r="AM42" s="30">
        <f t="shared" si="76"/>
        <v>0</v>
      </c>
      <c r="AN42" s="47">
        <f t="shared" si="64"/>
        <v>0</v>
      </c>
      <c r="AO42" s="30">
        <f t="shared" si="77"/>
        <v>82</v>
      </c>
      <c r="AP42" s="36">
        <f>AO42*H42</f>
        <v>1244.76</v>
      </c>
    </row>
    <row r="43" spans="1:42" ht="14.25" customHeight="1" x14ac:dyDescent="0.25">
      <c r="A43" s="92" t="s">
        <v>648</v>
      </c>
      <c r="B43" s="12" t="s">
        <v>74</v>
      </c>
      <c r="C43" s="11" t="s">
        <v>26</v>
      </c>
      <c r="D43" s="11" t="s">
        <v>75</v>
      </c>
      <c r="E43" s="13" t="s">
        <v>50</v>
      </c>
      <c r="F43" s="12">
        <v>3.92</v>
      </c>
      <c r="G43" s="14">
        <v>438.13</v>
      </c>
      <c r="H43" s="14">
        <v>536.57000000000005</v>
      </c>
      <c r="I43" s="14">
        <v>2103.35</v>
      </c>
      <c r="J43" s="28">
        <v>1.5013204853675946E-3</v>
      </c>
      <c r="K43" s="186"/>
      <c r="L43" s="186"/>
      <c r="M43" s="186"/>
      <c r="N43" s="186"/>
      <c r="O43" s="30"/>
      <c r="P43" s="43">
        <f t="shared" si="68"/>
        <v>0</v>
      </c>
      <c r="Q43" s="30">
        <f t="shared" si="78"/>
        <v>0</v>
      </c>
      <c r="R43" s="25">
        <f>Q43/F43</f>
        <v>0</v>
      </c>
      <c r="S43" s="30">
        <f>F43-Q43</f>
        <v>3.92</v>
      </c>
      <c r="T43" s="36">
        <f>S43*H43</f>
        <v>2103.3544000000002</v>
      </c>
      <c r="U43" s="30"/>
      <c r="V43" s="43">
        <f>U43*H43</f>
        <v>0</v>
      </c>
      <c r="W43" s="30">
        <f t="shared" si="69"/>
        <v>0</v>
      </c>
      <c r="X43" s="47">
        <f t="shared" si="70"/>
        <v>0</v>
      </c>
      <c r="Y43" s="30">
        <f t="shared" si="71"/>
        <v>3.92</v>
      </c>
      <c r="Z43" s="36">
        <f>Y43*H43</f>
        <v>2103.3544000000002</v>
      </c>
      <c r="AA43" s="52"/>
      <c r="AB43" s="43">
        <f>AA43*H43</f>
        <v>0</v>
      </c>
      <c r="AC43" s="30"/>
      <c r="AD43" s="43"/>
      <c r="AE43" s="30">
        <f t="shared" si="72"/>
        <v>0</v>
      </c>
      <c r="AF43" s="47">
        <f t="shared" si="73"/>
        <v>0</v>
      </c>
      <c r="AG43" s="30">
        <f t="shared" si="74"/>
        <v>3.92</v>
      </c>
      <c r="AH43" s="36">
        <f>AG43*H43</f>
        <v>2103.3544000000002</v>
      </c>
      <c r="AI43" s="52"/>
      <c r="AJ43" s="43">
        <f t="shared" si="75"/>
        <v>0</v>
      </c>
      <c r="AK43" s="30"/>
      <c r="AL43" s="43"/>
      <c r="AM43" s="30">
        <f t="shared" si="76"/>
        <v>0</v>
      </c>
      <c r="AN43" s="47">
        <f t="shared" si="64"/>
        <v>0</v>
      </c>
      <c r="AO43" s="30">
        <f t="shared" si="77"/>
        <v>3.92</v>
      </c>
      <c r="AP43" s="36">
        <f>AO43*H43</f>
        <v>2103.3544000000002</v>
      </c>
    </row>
    <row r="44" spans="1:42" ht="14.25" customHeight="1" x14ac:dyDescent="0.25">
      <c r="A44" s="91" t="s">
        <v>84</v>
      </c>
      <c r="B44" s="8"/>
      <c r="C44" s="8"/>
      <c r="D44" s="8" t="s">
        <v>85</v>
      </c>
      <c r="E44" s="8"/>
      <c r="F44" s="9"/>
      <c r="G44" s="8"/>
      <c r="H44" s="8"/>
      <c r="I44" s="10">
        <v>173762.92</v>
      </c>
      <c r="J44" s="27">
        <v>0.1240277801570307</v>
      </c>
      <c r="K44" s="185"/>
      <c r="L44" s="185"/>
      <c r="M44" s="185"/>
      <c r="N44" s="185"/>
      <c r="O44" s="32"/>
      <c r="P44" s="44"/>
      <c r="Q44" s="22"/>
      <c r="R44" s="22"/>
      <c r="S44" s="32"/>
      <c r="T44" s="37"/>
      <c r="U44" s="32"/>
      <c r="V44" s="44"/>
      <c r="W44" s="32"/>
      <c r="X44" s="48"/>
      <c r="Y44" s="32"/>
      <c r="Z44" s="37"/>
      <c r="AA44" s="53"/>
      <c r="AB44" s="44"/>
      <c r="AC44" s="32"/>
      <c r="AD44" s="44"/>
      <c r="AE44" s="32"/>
      <c r="AF44" s="48"/>
      <c r="AG44" s="32"/>
      <c r="AH44" s="37"/>
      <c r="AI44" s="53"/>
      <c r="AJ44" s="44"/>
      <c r="AK44" s="32"/>
      <c r="AL44" s="44"/>
      <c r="AM44" s="32"/>
      <c r="AN44" s="48"/>
      <c r="AO44" s="32"/>
      <c r="AP44" s="37"/>
    </row>
    <row r="45" spans="1:42" ht="14.25" customHeight="1" x14ac:dyDescent="0.25">
      <c r="A45" s="91" t="s">
        <v>86</v>
      </c>
      <c r="B45" s="8"/>
      <c r="C45" s="8"/>
      <c r="D45" s="8" t="s">
        <v>87</v>
      </c>
      <c r="E45" s="8"/>
      <c r="F45" s="9"/>
      <c r="G45" s="8"/>
      <c r="H45" s="8"/>
      <c r="I45" s="10">
        <v>65370.7</v>
      </c>
      <c r="J45" s="27">
        <v>4.6660028551034974E-2</v>
      </c>
      <c r="K45" s="185"/>
      <c r="L45" s="185"/>
      <c r="M45" s="185"/>
      <c r="N45" s="185"/>
      <c r="O45" s="31"/>
      <c r="P45" s="42"/>
      <c r="Q45" s="24"/>
      <c r="R45" s="23"/>
      <c r="S45" s="33"/>
      <c r="T45" s="35">
        <f>SUM(T46:T51)</f>
        <v>65370.732900000003</v>
      </c>
      <c r="U45" s="31"/>
      <c r="V45" s="42"/>
      <c r="W45" s="41"/>
      <c r="X45" s="46"/>
      <c r="Y45" s="33"/>
      <c r="Z45" s="35">
        <f>SUM(Z46:Z51)</f>
        <v>65370.732900000003</v>
      </c>
      <c r="AA45" s="31"/>
      <c r="AB45" s="42"/>
      <c r="AC45" s="31"/>
      <c r="AD45" s="42"/>
      <c r="AE45" s="41"/>
      <c r="AF45" s="46"/>
      <c r="AG45" s="33"/>
      <c r="AH45" s="35">
        <f>SUM(AH46:AH51)</f>
        <v>65370.732900000003</v>
      </c>
      <c r="AI45" s="31"/>
      <c r="AJ45" s="42"/>
      <c r="AK45" s="31"/>
      <c r="AL45" s="42"/>
      <c r="AM45" s="41"/>
      <c r="AN45" s="46"/>
      <c r="AO45" s="33"/>
      <c r="AP45" s="35">
        <f>SUM(AP46:AP51)</f>
        <v>65370.732900000003</v>
      </c>
    </row>
    <row r="46" spans="1:42" ht="14.25" customHeight="1" x14ac:dyDescent="0.25">
      <c r="A46" s="92" t="s">
        <v>649</v>
      </c>
      <c r="B46" s="12" t="s">
        <v>88</v>
      </c>
      <c r="C46" s="11" t="s">
        <v>26</v>
      </c>
      <c r="D46" s="11" t="s">
        <v>89</v>
      </c>
      <c r="E46" s="13" t="s">
        <v>24</v>
      </c>
      <c r="F46" s="12">
        <v>453.62</v>
      </c>
      <c r="G46" s="14">
        <v>63.48</v>
      </c>
      <c r="H46" s="14">
        <v>77.739999999999995</v>
      </c>
      <c r="I46" s="14">
        <v>35264.410000000003</v>
      </c>
      <c r="J46" s="28">
        <v>2.5170885082084225E-2</v>
      </c>
      <c r="K46" s="186"/>
      <c r="L46" s="186"/>
      <c r="M46" s="186"/>
      <c r="N46" s="186"/>
      <c r="O46" s="30"/>
      <c r="P46" s="43">
        <f t="shared" ref="P46:P51" si="79">O46*H46</f>
        <v>0</v>
      </c>
      <c r="Q46" s="30">
        <f>O46</f>
        <v>0</v>
      </c>
      <c r="R46" s="25">
        <f t="shared" ref="R46:R51" si="80">Q46/F46</f>
        <v>0</v>
      </c>
      <c r="S46" s="30">
        <f t="shared" ref="S46:S51" si="81">F46-Q46</f>
        <v>453.62</v>
      </c>
      <c r="T46" s="36">
        <f t="shared" ref="T46:T51" si="82">S46*H46</f>
        <v>35264.418799999999</v>
      </c>
      <c r="U46" s="30"/>
      <c r="V46" s="43">
        <f t="shared" ref="V46:V51" si="83">U46*H46</f>
        <v>0</v>
      </c>
      <c r="W46" s="30">
        <f t="shared" ref="W46:W51" si="84">Q46+U46</f>
        <v>0</v>
      </c>
      <c r="X46" s="47">
        <f t="shared" ref="X46:X51" si="85">W46/$F$8</f>
        <v>0</v>
      </c>
      <c r="Y46" s="30">
        <f t="shared" ref="Y46:Y51" si="86">F46-W46</f>
        <v>453.62</v>
      </c>
      <c r="Z46" s="36">
        <f t="shared" ref="Z46:Z51" si="87">Y46*H46</f>
        <v>35264.418799999999</v>
      </c>
      <c r="AA46" s="52"/>
      <c r="AB46" s="43">
        <f t="shared" ref="AB46:AB51" si="88">AA46*H46</f>
        <v>0</v>
      </c>
      <c r="AC46" s="30"/>
      <c r="AD46" s="43"/>
      <c r="AE46" s="30">
        <f t="shared" ref="AE46:AE51" si="89">W46+AC46</f>
        <v>0</v>
      </c>
      <c r="AF46" s="47">
        <f t="shared" ref="AF46:AF51" si="90">AE46/$F$8</f>
        <v>0</v>
      </c>
      <c r="AG46" s="30">
        <f t="shared" ref="AG46:AG51" si="91">F46-AE46</f>
        <v>453.62</v>
      </c>
      <c r="AH46" s="36">
        <f t="shared" ref="AH46:AH51" si="92">AG46*H46</f>
        <v>35264.418799999999</v>
      </c>
      <c r="AI46" s="52"/>
      <c r="AJ46" s="43">
        <f t="shared" ref="AJ46:AJ51" si="93">AI46*T46</f>
        <v>0</v>
      </c>
      <c r="AK46" s="30"/>
      <c r="AL46" s="43"/>
      <c r="AM46" s="30">
        <f t="shared" ref="AM46:AM51" si="94">AE46+AK46</f>
        <v>0</v>
      </c>
      <c r="AN46" s="47">
        <f t="shared" ref="AN46:AN51" si="95">AM46/$F$8</f>
        <v>0</v>
      </c>
      <c r="AO46" s="30">
        <f t="shared" ref="AO46:AO51" si="96">F46-AM46</f>
        <v>453.62</v>
      </c>
      <c r="AP46" s="36">
        <f t="shared" ref="AP46:AP51" si="97">AO46*H46</f>
        <v>35264.418799999999</v>
      </c>
    </row>
    <row r="47" spans="1:42" ht="39" customHeight="1" x14ac:dyDescent="0.25">
      <c r="A47" s="92" t="s">
        <v>650</v>
      </c>
      <c r="B47" s="12" t="s">
        <v>90</v>
      </c>
      <c r="C47" s="11" t="s">
        <v>26</v>
      </c>
      <c r="D47" s="11" t="s">
        <v>91</v>
      </c>
      <c r="E47" s="13" t="s">
        <v>65</v>
      </c>
      <c r="F47" s="64">
        <v>0.73</v>
      </c>
      <c r="G47" s="14">
        <v>10.23</v>
      </c>
      <c r="H47" s="14">
        <v>12.52</v>
      </c>
      <c r="I47" s="14">
        <v>9.1300000000000008</v>
      </c>
      <c r="J47" s="28">
        <v>6.516773733047823E-6</v>
      </c>
      <c r="K47" s="186"/>
      <c r="L47" s="186"/>
      <c r="M47" s="186"/>
      <c r="N47" s="186"/>
      <c r="O47" s="30"/>
      <c r="P47" s="43">
        <f t="shared" si="79"/>
        <v>0</v>
      </c>
      <c r="Q47" s="30">
        <f>O47</f>
        <v>0</v>
      </c>
      <c r="R47" s="25">
        <f t="shared" si="80"/>
        <v>0</v>
      </c>
      <c r="S47" s="30">
        <f t="shared" si="81"/>
        <v>0.73</v>
      </c>
      <c r="T47" s="36">
        <f t="shared" si="82"/>
        <v>9.1395999999999997</v>
      </c>
      <c r="U47" s="30"/>
      <c r="V47" s="43">
        <f t="shared" si="83"/>
        <v>0</v>
      </c>
      <c r="W47" s="30">
        <f t="shared" si="84"/>
        <v>0</v>
      </c>
      <c r="X47" s="47">
        <f t="shared" si="85"/>
        <v>0</v>
      </c>
      <c r="Y47" s="30">
        <f t="shared" si="86"/>
        <v>0.73</v>
      </c>
      <c r="Z47" s="36">
        <f t="shared" si="87"/>
        <v>9.1395999999999997</v>
      </c>
      <c r="AA47" s="52"/>
      <c r="AB47" s="43">
        <f t="shared" si="88"/>
        <v>0</v>
      </c>
      <c r="AC47" s="30"/>
      <c r="AD47" s="43"/>
      <c r="AE47" s="30">
        <f t="shared" si="89"/>
        <v>0</v>
      </c>
      <c r="AF47" s="47">
        <f t="shared" si="90"/>
        <v>0</v>
      </c>
      <c r="AG47" s="30">
        <f t="shared" si="91"/>
        <v>0.73</v>
      </c>
      <c r="AH47" s="36">
        <f t="shared" si="92"/>
        <v>9.1395999999999997</v>
      </c>
      <c r="AI47" s="52"/>
      <c r="AJ47" s="43">
        <f t="shared" si="93"/>
        <v>0</v>
      </c>
      <c r="AK47" s="30"/>
      <c r="AL47" s="43"/>
      <c r="AM47" s="30">
        <f t="shared" si="94"/>
        <v>0</v>
      </c>
      <c r="AN47" s="47">
        <f t="shared" si="95"/>
        <v>0</v>
      </c>
      <c r="AO47" s="30">
        <f t="shared" si="96"/>
        <v>0.73</v>
      </c>
      <c r="AP47" s="36">
        <f t="shared" si="97"/>
        <v>9.1395999999999997</v>
      </c>
    </row>
    <row r="48" spans="1:42" ht="39" customHeight="1" x14ac:dyDescent="0.25">
      <c r="A48" s="92" t="s">
        <v>651</v>
      </c>
      <c r="B48" s="12" t="s">
        <v>92</v>
      </c>
      <c r="C48" s="11" t="s">
        <v>26</v>
      </c>
      <c r="D48" s="11" t="s">
        <v>93</v>
      </c>
      <c r="E48" s="13" t="s">
        <v>65</v>
      </c>
      <c r="F48" s="63">
        <v>829.82</v>
      </c>
      <c r="G48" s="14">
        <v>9.7200000000000006</v>
      </c>
      <c r="H48" s="14">
        <v>11.9</v>
      </c>
      <c r="I48" s="14">
        <v>9874.85</v>
      </c>
      <c r="J48" s="28">
        <v>7.0484296930763742E-3</v>
      </c>
      <c r="K48" s="186"/>
      <c r="L48" s="186"/>
      <c r="M48" s="186"/>
      <c r="N48" s="186"/>
      <c r="O48" s="30"/>
      <c r="P48" s="43">
        <f t="shared" si="79"/>
        <v>0</v>
      </c>
      <c r="Q48" s="30">
        <f t="shared" ref="Q48:Q51" si="98">O48</f>
        <v>0</v>
      </c>
      <c r="R48" s="25">
        <f t="shared" si="80"/>
        <v>0</v>
      </c>
      <c r="S48" s="30">
        <f t="shared" si="81"/>
        <v>829.82</v>
      </c>
      <c r="T48" s="36">
        <f t="shared" si="82"/>
        <v>9874.8580000000002</v>
      </c>
      <c r="U48" s="30"/>
      <c r="V48" s="43">
        <f t="shared" si="83"/>
        <v>0</v>
      </c>
      <c r="W48" s="30">
        <f t="shared" si="84"/>
        <v>0</v>
      </c>
      <c r="X48" s="47">
        <f t="shared" si="85"/>
        <v>0</v>
      </c>
      <c r="Y48" s="30">
        <f t="shared" si="86"/>
        <v>829.82</v>
      </c>
      <c r="Z48" s="36">
        <f t="shared" si="87"/>
        <v>9874.8580000000002</v>
      </c>
      <c r="AA48" s="52"/>
      <c r="AB48" s="43">
        <f t="shared" si="88"/>
        <v>0</v>
      </c>
      <c r="AC48" s="30"/>
      <c r="AD48" s="43"/>
      <c r="AE48" s="30">
        <f t="shared" si="89"/>
        <v>0</v>
      </c>
      <c r="AF48" s="47">
        <f t="shared" si="90"/>
        <v>0</v>
      </c>
      <c r="AG48" s="30">
        <f t="shared" si="91"/>
        <v>829.82</v>
      </c>
      <c r="AH48" s="36">
        <f t="shared" si="92"/>
        <v>9874.8580000000002</v>
      </c>
      <c r="AI48" s="52"/>
      <c r="AJ48" s="43">
        <f t="shared" si="93"/>
        <v>0</v>
      </c>
      <c r="AK48" s="30"/>
      <c r="AL48" s="43"/>
      <c r="AM48" s="30">
        <f t="shared" si="94"/>
        <v>0</v>
      </c>
      <c r="AN48" s="47">
        <f t="shared" si="95"/>
        <v>0</v>
      </c>
      <c r="AO48" s="30">
        <f t="shared" si="96"/>
        <v>829.82</v>
      </c>
      <c r="AP48" s="36">
        <f t="shared" si="97"/>
        <v>9874.8580000000002</v>
      </c>
    </row>
    <row r="49" spans="1:42" ht="39" customHeight="1" x14ac:dyDescent="0.25">
      <c r="A49" s="92" t="s">
        <v>652</v>
      </c>
      <c r="B49" s="12" t="s">
        <v>94</v>
      </c>
      <c r="C49" s="11" t="s">
        <v>26</v>
      </c>
      <c r="D49" s="11" t="s">
        <v>95</v>
      </c>
      <c r="E49" s="13" t="s">
        <v>65</v>
      </c>
      <c r="F49" s="63">
        <v>100.82</v>
      </c>
      <c r="G49" s="14">
        <v>8.75</v>
      </c>
      <c r="H49" s="14">
        <v>10.71</v>
      </c>
      <c r="I49" s="14">
        <v>1079.78</v>
      </c>
      <c r="J49" s="28">
        <v>7.7072091363311916E-4</v>
      </c>
      <c r="K49" s="186"/>
      <c r="L49" s="186"/>
      <c r="M49" s="186"/>
      <c r="N49" s="186"/>
      <c r="O49" s="30"/>
      <c r="P49" s="43">
        <f t="shared" si="79"/>
        <v>0</v>
      </c>
      <c r="Q49" s="30">
        <f t="shared" si="98"/>
        <v>0</v>
      </c>
      <c r="R49" s="25">
        <f t="shared" si="80"/>
        <v>0</v>
      </c>
      <c r="S49" s="30">
        <f t="shared" si="81"/>
        <v>100.82</v>
      </c>
      <c r="T49" s="36">
        <f t="shared" si="82"/>
        <v>1079.7822000000001</v>
      </c>
      <c r="U49" s="30"/>
      <c r="V49" s="43">
        <f t="shared" si="83"/>
        <v>0</v>
      </c>
      <c r="W49" s="30">
        <f t="shared" si="84"/>
        <v>0</v>
      </c>
      <c r="X49" s="47">
        <f t="shared" si="85"/>
        <v>0</v>
      </c>
      <c r="Y49" s="30">
        <f t="shared" si="86"/>
        <v>100.82</v>
      </c>
      <c r="Z49" s="36">
        <f t="shared" si="87"/>
        <v>1079.7822000000001</v>
      </c>
      <c r="AA49" s="52"/>
      <c r="AB49" s="43">
        <f t="shared" si="88"/>
        <v>0</v>
      </c>
      <c r="AC49" s="30"/>
      <c r="AD49" s="43"/>
      <c r="AE49" s="30">
        <f t="shared" si="89"/>
        <v>0</v>
      </c>
      <c r="AF49" s="47">
        <f t="shared" si="90"/>
        <v>0</v>
      </c>
      <c r="AG49" s="30">
        <f t="shared" si="91"/>
        <v>100.82</v>
      </c>
      <c r="AH49" s="36">
        <f t="shared" si="92"/>
        <v>1079.7822000000001</v>
      </c>
      <c r="AI49" s="52"/>
      <c r="AJ49" s="43">
        <f t="shared" si="93"/>
        <v>0</v>
      </c>
      <c r="AK49" s="30"/>
      <c r="AL49" s="43"/>
      <c r="AM49" s="30">
        <f t="shared" si="94"/>
        <v>0</v>
      </c>
      <c r="AN49" s="47">
        <f t="shared" si="95"/>
        <v>0</v>
      </c>
      <c r="AO49" s="30">
        <f t="shared" si="96"/>
        <v>100.82</v>
      </c>
      <c r="AP49" s="36">
        <f t="shared" si="97"/>
        <v>1079.7822000000001</v>
      </c>
    </row>
    <row r="50" spans="1:42" ht="39" customHeight="1" x14ac:dyDescent="0.25">
      <c r="A50" s="92" t="s">
        <v>653</v>
      </c>
      <c r="B50" s="12" t="s">
        <v>96</v>
      </c>
      <c r="C50" s="11" t="s">
        <v>26</v>
      </c>
      <c r="D50" s="11" t="s">
        <v>97</v>
      </c>
      <c r="E50" s="13" t="s">
        <v>65</v>
      </c>
      <c r="F50" s="63">
        <v>379</v>
      </c>
      <c r="G50" s="14">
        <v>10.63</v>
      </c>
      <c r="H50" s="14">
        <v>13.01</v>
      </c>
      <c r="I50" s="14">
        <v>4930.79</v>
      </c>
      <c r="J50" s="28">
        <v>3.5194789436117061E-3</v>
      </c>
      <c r="K50" s="186"/>
      <c r="L50" s="186"/>
      <c r="M50" s="186"/>
      <c r="N50" s="186"/>
      <c r="O50" s="30"/>
      <c r="P50" s="43">
        <f t="shared" si="79"/>
        <v>0</v>
      </c>
      <c r="Q50" s="30">
        <f t="shared" si="98"/>
        <v>0</v>
      </c>
      <c r="R50" s="25">
        <f t="shared" si="80"/>
        <v>0</v>
      </c>
      <c r="S50" s="30">
        <f t="shared" si="81"/>
        <v>379</v>
      </c>
      <c r="T50" s="36">
        <f t="shared" si="82"/>
        <v>4930.79</v>
      </c>
      <c r="U50" s="30"/>
      <c r="V50" s="43">
        <f t="shared" si="83"/>
        <v>0</v>
      </c>
      <c r="W50" s="30">
        <f t="shared" si="84"/>
        <v>0</v>
      </c>
      <c r="X50" s="47">
        <f t="shared" si="85"/>
        <v>0</v>
      </c>
      <c r="Y50" s="30">
        <f t="shared" si="86"/>
        <v>379</v>
      </c>
      <c r="Z50" s="36">
        <f t="shared" si="87"/>
        <v>4930.79</v>
      </c>
      <c r="AA50" s="52"/>
      <c r="AB50" s="43">
        <f t="shared" si="88"/>
        <v>0</v>
      </c>
      <c r="AC50" s="30"/>
      <c r="AD50" s="43"/>
      <c r="AE50" s="30">
        <f t="shared" si="89"/>
        <v>0</v>
      </c>
      <c r="AF50" s="47">
        <f t="shared" si="90"/>
        <v>0</v>
      </c>
      <c r="AG50" s="30">
        <f t="shared" si="91"/>
        <v>379</v>
      </c>
      <c r="AH50" s="36">
        <f t="shared" si="92"/>
        <v>4930.79</v>
      </c>
      <c r="AI50" s="52"/>
      <c r="AJ50" s="43">
        <f t="shared" si="93"/>
        <v>0</v>
      </c>
      <c r="AK50" s="30"/>
      <c r="AL50" s="43"/>
      <c r="AM50" s="30">
        <f t="shared" si="94"/>
        <v>0</v>
      </c>
      <c r="AN50" s="47">
        <f t="shared" si="95"/>
        <v>0</v>
      </c>
      <c r="AO50" s="30">
        <f t="shared" si="96"/>
        <v>379</v>
      </c>
      <c r="AP50" s="36">
        <f t="shared" si="97"/>
        <v>4930.79</v>
      </c>
    </row>
    <row r="51" spans="1:42" ht="39" customHeight="1" x14ac:dyDescent="0.25">
      <c r="A51" s="92" t="s">
        <v>654</v>
      </c>
      <c r="B51" s="12" t="s">
        <v>98</v>
      </c>
      <c r="C51" s="11" t="s">
        <v>26</v>
      </c>
      <c r="D51" s="11" t="s">
        <v>99</v>
      </c>
      <c r="E51" s="13" t="s">
        <v>50</v>
      </c>
      <c r="F51" s="63">
        <v>27.81</v>
      </c>
      <c r="G51" s="14">
        <v>417.27</v>
      </c>
      <c r="H51" s="14">
        <v>511.03</v>
      </c>
      <c r="I51" s="14">
        <v>14211.74</v>
      </c>
      <c r="J51" s="28">
        <v>1.0143997144896503E-2</v>
      </c>
      <c r="K51" s="186"/>
      <c r="L51" s="186"/>
      <c r="M51" s="186"/>
      <c r="N51" s="186"/>
      <c r="O51" s="30"/>
      <c r="P51" s="43">
        <f t="shared" si="79"/>
        <v>0</v>
      </c>
      <c r="Q51" s="30">
        <f t="shared" si="98"/>
        <v>0</v>
      </c>
      <c r="R51" s="25">
        <f t="shared" si="80"/>
        <v>0</v>
      </c>
      <c r="S51" s="30">
        <f t="shared" si="81"/>
        <v>27.81</v>
      </c>
      <c r="T51" s="36">
        <f t="shared" si="82"/>
        <v>14211.744299999998</v>
      </c>
      <c r="U51" s="30"/>
      <c r="V51" s="43">
        <f t="shared" si="83"/>
        <v>0</v>
      </c>
      <c r="W51" s="30">
        <f t="shared" si="84"/>
        <v>0</v>
      </c>
      <c r="X51" s="47">
        <f t="shared" si="85"/>
        <v>0</v>
      </c>
      <c r="Y51" s="30">
        <f t="shared" si="86"/>
        <v>27.81</v>
      </c>
      <c r="Z51" s="36">
        <f t="shared" si="87"/>
        <v>14211.744299999998</v>
      </c>
      <c r="AA51" s="52"/>
      <c r="AB51" s="43">
        <f t="shared" si="88"/>
        <v>0</v>
      </c>
      <c r="AC51" s="30"/>
      <c r="AD51" s="43"/>
      <c r="AE51" s="30">
        <f t="shared" si="89"/>
        <v>0</v>
      </c>
      <c r="AF51" s="47">
        <f t="shared" si="90"/>
        <v>0</v>
      </c>
      <c r="AG51" s="30">
        <f t="shared" si="91"/>
        <v>27.81</v>
      </c>
      <c r="AH51" s="36">
        <f t="shared" si="92"/>
        <v>14211.744299999998</v>
      </c>
      <c r="AI51" s="52"/>
      <c r="AJ51" s="43">
        <f t="shared" si="93"/>
        <v>0</v>
      </c>
      <c r="AK51" s="30"/>
      <c r="AL51" s="43"/>
      <c r="AM51" s="30">
        <f t="shared" si="94"/>
        <v>0</v>
      </c>
      <c r="AN51" s="47">
        <f t="shared" si="95"/>
        <v>0</v>
      </c>
      <c r="AO51" s="30">
        <f t="shared" si="96"/>
        <v>27.81</v>
      </c>
      <c r="AP51" s="36">
        <f t="shared" si="97"/>
        <v>14211.744299999998</v>
      </c>
    </row>
    <row r="52" spans="1:42" ht="14.25" customHeight="1" x14ac:dyDescent="0.25">
      <c r="A52" s="91" t="s">
        <v>100</v>
      </c>
      <c r="B52" s="8"/>
      <c r="C52" s="8"/>
      <c r="D52" s="8" t="s">
        <v>101</v>
      </c>
      <c r="E52" s="8"/>
      <c r="F52" s="9"/>
      <c r="G52" s="8"/>
      <c r="H52" s="8"/>
      <c r="I52" s="10">
        <v>40599.879999999997</v>
      </c>
      <c r="J52" s="27">
        <v>2.8979214846538186E-2</v>
      </c>
      <c r="K52" s="185"/>
      <c r="L52" s="185"/>
      <c r="M52" s="185"/>
      <c r="N52" s="185"/>
      <c r="O52" s="32"/>
      <c r="P52" s="44"/>
      <c r="Q52" s="22"/>
      <c r="R52" s="22"/>
      <c r="S52" s="32"/>
      <c r="T52" s="37">
        <f>SUM(T53:T57)</f>
        <v>40599.902199999997</v>
      </c>
      <c r="U52" s="32"/>
      <c r="V52" s="44"/>
      <c r="W52" s="32"/>
      <c r="X52" s="48"/>
      <c r="Y52" s="32"/>
      <c r="Z52" s="37">
        <f>SUM(Z53:Z57)</f>
        <v>40599.902199999997</v>
      </c>
      <c r="AA52" s="53"/>
      <c r="AB52" s="44"/>
      <c r="AC52" s="32"/>
      <c r="AD52" s="44"/>
      <c r="AE52" s="32"/>
      <c r="AF52" s="48"/>
      <c r="AG52" s="32"/>
      <c r="AH52" s="37">
        <f>SUM(AH53:AH57)</f>
        <v>40599.902199999997</v>
      </c>
      <c r="AI52" s="53"/>
      <c r="AJ52" s="44"/>
      <c r="AK52" s="32"/>
      <c r="AL52" s="44"/>
      <c r="AM52" s="32"/>
      <c r="AN52" s="48"/>
      <c r="AO52" s="32"/>
      <c r="AP52" s="37">
        <f>SUM(AP53:AP57)</f>
        <v>40599.902199999997</v>
      </c>
    </row>
    <row r="53" spans="1:42" ht="51.75" customHeight="1" x14ac:dyDescent="0.25">
      <c r="A53" s="92" t="s">
        <v>655</v>
      </c>
      <c r="B53" s="12" t="s">
        <v>102</v>
      </c>
      <c r="C53" s="11" t="s">
        <v>26</v>
      </c>
      <c r="D53" s="11" t="s">
        <v>103</v>
      </c>
      <c r="E53" s="13" t="s">
        <v>24</v>
      </c>
      <c r="F53" s="12">
        <v>319.27</v>
      </c>
      <c r="G53" s="14">
        <v>33.28</v>
      </c>
      <c r="H53" s="14">
        <v>40.75</v>
      </c>
      <c r="I53" s="14">
        <v>13010.25</v>
      </c>
      <c r="J53" s="28">
        <v>9.2864025695931478E-3</v>
      </c>
      <c r="K53" s="186"/>
      <c r="L53" s="186"/>
      <c r="M53" s="186"/>
      <c r="N53" s="186"/>
      <c r="O53" s="30"/>
      <c r="P53" s="43">
        <f t="shared" ref="P53:P57" si="99">O53*H53</f>
        <v>0</v>
      </c>
      <c r="Q53" s="30">
        <f>O53</f>
        <v>0</v>
      </c>
      <c r="R53" s="25">
        <f>Q53/F53</f>
        <v>0</v>
      </c>
      <c r="S53" s="30">
        <f>F53-Q53</f>
        <v>319.27</v>
      </c>
      <c r="T53" s="36">
        <f>S53*H53</f>
        <v>13010.252499999999</v>
      </c>
      <c r="U53" s="30"/>
      <c r="V53" s="43">
        <f>U53*H53</f>
        <v>0</v>
      </c>
      <c r="W53" s="30">
        <f t="shared" ref="W53:W57" si="100">Q53+U53</f>
        <v>0</v>
      </c>
      <c r="X53" s="47">
        <f t="shared" ref="X53:X57" si="101">W53/$F$8</f>
        <v>0</v>
      </c>
      <c r="Y53" s="30">
        <f t="shared" ref="Y53:Y57" si="102">F53-W53</f>
        <v>319.27</v>
      </c>
      <c r="Z53" s="36">
        <f>Y53*H53</f>
        <v>13010.252499999999</v>
      </c>
      <c r="AA53" s="52"/>
      <c r="AB53" s="43">
        <f>AA53*H53</f>
        <v>0</v>
      </c>
      <c r="AC53" s="30"/>
      <c r="AD53" s="43"/>
      <c r="AE53" s="30">
        <f t="shared" ref="AE53:AE57" si="103">W53+AC53</f>
        <v>0</v>
      </c>
      <c r="AF53" s="47">
        <f t="shared" ref="AF53:AF57" si="104">AE53/$F$8</f>
        <v>0</v>
      </c>
      <c r="AG53" s="30">
        <f t="shared" ref="AG53:AG57" si="105">F53-AE53</f>
        <v>319.27</v>
      </c>
      <c r="AH53" s="36">
        <f>AG53*H53</f>
        <v>13010.252499999999</v>
      </c>
      <c r="AI53" s="52"/>
      <c r="AJ53" s="43">
        <f t="shared" ref="AJ53:AJ57" si="106">AI53*T53</f>
        <v>0</v>
      </c>
      <c r="AK53" s="30"/>
      <c r="AL53" s="43"/>
      <c r="AM53" s="30">
        <f t="shared" ref="AM53:AM57" si="107">AE53+AK53</f>
        <v>0</v>
      </c>
      <c r="AN53" s="47">
        <f t="shared" ref="AN53:AN57" si="108">AM53/$F$8</f>
        <v>0</v>
      </c>
      <c r="AO53" s="30">
        <f t="shared" ref="AO53:AO57" si="109">F53-AM53</f>
        <v>319.27</v>
      </c>
      <c r="AP53" s="36">
        <f>AO53*H53</f>
        <v>13010.252499999999</v>
      </c>
    </row>
    <row r="54" spans="1:42" ht="39" customHeight="1" x14ac:dyDescent="0.25">
      <c r="A54" s="92" t="s">
        <v>656</v>
      </c>
      <c r="B54" s="12" t="s">
        <v>68</v>
      </c>
      <c r="C54" s="11" t="s">
        <v>26</v>
      </c>
      <c r="D54" s="11" t="s">
        <v>69</v>
      </c>
      <c r="E54" s="13" t="s">
        <v>65</v>
      </c>
      <c r="F54" s="63">
        <v>1063.9100000000001</v>
      </c>
      <c r="G54" s="14">
        <v>9.39</v>
      </c>
      <c r="H54" s="14">
        <v>11.49</v>
      </c>
      <c r="I54" s="14">
        <v>12224.32</v>
      </c>
      <c r="J54" s="28">
        <v>8.7254246966452526E-3</v>
      </c>
      <c r="K54" s="186"/>
      <c r="L54" s="186"/>
      <c r="M54" s="186"/>
      <c r="N54" s="186"/>
      <c r="O54" s="30"/>
      <c r="P54" s="43">
        <f t="shared" si="99"/>
        <v>0</v>
      </c>
      <c r="Q54" s="30">
        <f>O54</f>
        <v>0</v>
      </c>
      <c r="R54" s="25">
        <f>Q54/F54</f>
        <v>0</v>
      </c>
      <c r="S54" s="30">
        <f>F54-Q54</f>
        <v>1063.9100000000001</v>
      </c>
      <c r="T54" s="36">
        <f>S54*H54</f>
        <v>12224.325900000002</v>
      </c>
      <c r="U54" s="30"/>
      <c r="V54" s="43">
        <f>U54*H54</f>
        <v>0</v>
      </c>
      <c r="W54" s="30">
        <f t="shared" si="100"/>
        <v>0</v>
      </c>
      <c r="X54" s="47">
        <f t="shared" si="101"/>
        <v>0</v>
      </c>
      <c r="Y54" s="30">
        <f t="shared" si="102"/>
        <v>1063.9100000000001</v>
      </c>
      <c r="Z54" s="36">
        <f>Y54*H54</f>
        <v>12224.325900000002</v>
      </c>
      <c r="AA54" s="52"/>
      <c r="AB54" s="43">
        <f>AA54*H54</f>
        <v>0</v>
      </c>
      <c r="AC54" s="30"/>
      <c r="AD54" s="43"/>
      <c r="AE54" s="30">
        <f t="shared" si="103"/>
        <v>0</v>
      </c>
      <c r="AF54" s="47">
        <f t="shared" si="104"/>
        <v>0</v>
      </c>
      <c r="AG54" s="30">
        <f t="shared" si="105"/>
        <v>1063.9100000000001</v>
      </c>
      <c r="AH54" s="36">
        <f>AG54*H54</f>
        <v>12224.325900000002</v>
      </c>
      <c r="AI54" s="52"/>
      <c r="AJ54" s="43">
        <f t="shared" si="106"/>
        <v>0</v>
      </c>
      <c r="AK54" s="30"/>
      <c r="AL54" s="43"/>
      <c r="AM54" s="30">
        <f t="shared" si="107"/>
        <v>0</v>
      </c>
      <c r="AN54" s="47">
        <f t="shared" si="108"/>
        <v>0</v>
      </c>
      <c r="AO54" s="30">
        <f t="shared" si="109"/>
        <v>1063.9100000000001</v>
      </c>
      <c r="AP54" s="36">
        <f>AO54*H54</f>
        <v>12224.325900000002</v>
      </c>
    </row>
    <row r="55" spans="1:42" ht="39" customHeight="1" x14ac:dyDescent="0.25">
      <c r="A55" s="92" t="s">
        <v>657</v>
      </c>
      <c r="B55" s="12" t="s">
        <v>70</v>
      </c>
      <c r="C55" s="11" t="s">
        <v>26</v>
      </c>
      <c r="D55" s="11" t="s">
        <v>71</v>
      </c>
      <c r="E55" s="13" t="s">
        <v>65</v>
      </c>
      <c r="F55" s="63">
        <v>102.27</v>
      </c>
      <c r="G55" s="14">
        <v>7.82</v>
      </c>
      <c r="H55" s="14">
        <v>9.57</v>
      </c>
      <c r="I55" s="14">
        <v>978.72</v>
      </c>
      <c r="J55" s="28">
        <v>6.9858672376873663E-4</v>
      </c>
      <c r="K55" s="186"/>
      <c r="L55" s="186"/>
      <c r="M55" s="186"/>
      <c r="N55" s="186"/>
      <c r="O55" s="30"/>
      <c r="P55" s="43">
        <f t="shared" si="99"/>
        <v>0</v>
      </c>
      <c r="Q55" s="30">
        <f t="shared" ref="Q55:Q57" si="110">O55</f>
        <v>0</v>
      </c>
      <c r="R55" s="25">
        <f>Q55/F55</f>
        <v>0</v>
      </c>
      <c r="S55" s="30">
        <f>F55-Q55</f>
        <v>102.27</v>
      </c>
      <c r="T55" s="36">
        <f>S55*H55</f>
        <v>978.72389999999996</v>
      </c>
      <c r="U55" s="30"/>
      <c r="V55" s="43">
        <f>U55*H55</f>
        <v>0</v>
      </c>
      <c r="W55" s="30">
        <f t="shared" si="100"/>
        <v>0</v>
      </c>
      <c r="X55" s="47">
        <f t="shared" si="101"/>
        <v>0</v>
      </c>
      <c r="Y55" s="30">
        <f t="shared" si="102"/>
        <v>102.27</v>
      </c>
      <c r="Z55" s="36">
        <f>Y55*H55</f>
        <v>978.72389999999996</v>
      </c>
      <c r="AA55" s="52"/>
      <c r="AB55" s="43">
        <f>AA55*H55</f>
        <v>0</v>
      </c>
      <c r="AC55" s="30"/>
      <c r="AD55" s="43"/>
      <c r="AE55" s="30">
        <f t="shared" si="103"/>
        <v>0</v>
      </c>
      <c r="AF55" s="47">
        <f t="shared" si="104"/>
        <v>0</v>
      </c>
      <c r="AG55" s="30">
        <f t="shared" si="105"/>
        <v>102.27</v>
      </c>
      <c r="AH55" s="36">
        <f>AG55*H55</f>
        <v>978.72389999999996</v>
      </c>
      <c r="AI55" s="52"/>
      <c r="AJ55" s="43">
        <f t="shared" si="106"/>
        <v>0</v>
      </c>
      <c r="AK55" s="30"/>
      <c r="AL55" s="43"/>
      <c r="AM55" s="30">
        <f t="shared" si="107"/>
        <v>0</v>
      </c>
      <c r="AN55" s="47">
        <f t="shared" si="108"/>
        <v>0</v>
      </c>
      <c r="AO55" s="30">
        <f t="shared" si="109"/>
        <v>102.27</v>
      </c>
      <c r="AP55" s="36">
        <f>AO55*H55</f>
        <v>978.72389999999996</v>
      </c>
    </row>
    <row r="56" spans="1:42" ht="39" customHeight="1" x14ac:dyDescent="0.25">
      <c r="A56" s="92" t="s">
        <v>658</v>
      </c>
      <c r="B56" s="12" t="s">
        <v>72</v>
      </c>
      <c r="C56" s="11" t="s">
        <v>26</v>
      </c>
      <c r="D56" s="11" t="s">
        <v>73</v>
      </c>
      <c r="E56" s="13" t="s">
        <v>65</v>
      </c>
      <c r="F56" s="63">
        <v>404.73</v>
      </c>
      <c r="G56" s="14">
        <v>12.4</v>
      </c>
      <c r="H56" s="14">
        <v>15.18</v>
      </c>
      <c r="I56" s="14">
        <v>6143.8</v>
      </c>
      <c r="J56" s="28">
        <v>4.3852962169878655E-3</v>
      </c>
      <c r="K56" s="186"/>
      <c r="L56" s="186"/>
      <c r="M56" s="186"/>
      <c r="N56" s="186"/>
      <c r="O56" s="30"/>
      <c r="P56" s="43">
        <f t="shared" si="99"/>
        <v>0</v>
      </c>
      <c r="Q56" s="30">
        <f t="shared" si="110"/>
        <v>0</v>
      </c>
      <c r="R56" s="25">
        <f>Q56/F56</f>
        <v>0</v>
      </c>
      <c r="S56" s="30">
        <f>F56-Q56</f>
        <v>404.73</v>
      </c>
      <c r="T56" s="36">
        <f>S56*H56</f>
        <v>6143.8014000000003</v>
      </c>
      <c r="U56" s="30"/>
      <c r="V56" s="43">
        <f>U56*H56</f>
        <v>0</v>
      </c>
      <c r="W56" s="30">
        <f t="shared" si="100"/>
        <v>0</v>
      </c>
      <c r="X56" s="47">
        <f t="shared" si="101"/>
        <v>0</v>
      </c>
      <c r="Y56" s="30">
        <f t="shared" si="102"/>
        <v>404.73</v>
      </c>
      <c r="Z56" s="36">
        <f>Y56*H56</f>
        <v>6143.8014000000003</v>
      </c>
      <c r="AA56" s="52"/>
      <c r="AB56" s="43">
        <f>AA56*H56</f>
        <v>0</v>
      </c>
      <c r="AC56" s="30"/>
      <c r="AD56" s="43"/>
      <c r="AE56" s="30">
        <f t="shared" si="103"/>
        <v>0</v>
      </c>
      <c r="AF56" s="47">
        <f t="shared" si="104"/>
        <v>0</v>
      </c>
      <c r="AG56" s="30">
        <f t="shared" si="105"/>
        <v>404.73</v>
      </c>
      <c r="AH56" s="36">
        <f>AG56*H56</f>
        <v>6143.8014000000003</v>
      </c>
      <c r="AI56" s="52"/>
      <c r="AJ56" s="43">
        <f t="shared" si="106"/>
        <v>0</v>
      </c>
      <c r="AK56" s="30"/>
      <c r="AL56" s="43"/>
      <c r="AM56" s="30">
        <f t="shared" si="107"/>
        <v>0</v>
      </c>
      <c r="AN56" s="47">
        <f t="shared" si="108"/>
        <v>0</v>
      </c>
      <c r="AO56" s="30">
        <f t="shared" si="109"/>
        <v>404.73</v>
      </c>
      <c r="AP56" s="36">
        <f>AO56*H56</f>
        <v>6143.8014000000003</v>
      </c>
    </row>
    <row r="57" spans="1:42" ht="14.25" customHeight="1" x14ac:dyDescent="0.25">
      <c r="A57" s="92" t="s">
        <v>659</v>
      </c>
      <c r="B57" s="12" t="s">
        <v>104</v>
      </c>
      <c r="C57" s="11" t="s">
        <v>26</v>
      </c>
      <c r="D57" s="11" t="s">
        <v>105</v>
      </c>
      <c r="E57" s="13" t="s">
        <v>50</v>
      </c>
      <c r="F57" s="63">
        <v>16.149999999999999</v>
      </c>
      <c r="G57" s="14">
        <v>416.75</v>
      </c>
      <c r="H57" s="14">
        <v>510.39</v>
      </c>
      <c r="I57" s="14">
        <v>8242.7900000000009</v>
      </c>
      <c r="J57" s="28">
        <v>5.8835046395431835E-3</v>
      </c>
      <c r="K57" s="186"/>
      <c r="L57" s="186"/>
      <c r="M57" s="186"/>
      <c r="N57" s="186"/>
      <c r="O57" s="30"/>
      <c r="P57" s="43">
        <f t="shared" si="99"/>
        <v>0</v>
      </c>
      <c r="Q57" s="30">
        <f t="shared" si="110"/>
        <v>0</v>
      </c>
      <c r="R57" s="25">
        <f>Q57/F57</f>
        <v>0</v>
      </c>
      <c r="S57" s="30">
        <f>F57-Q57</f>
        <v>16.149999999999999</v>
      </c>
      <c r="T57" s="36">
        <f>S57*H57</f>
        <v>8242.798499999999</v>
      </c>
      <c r="U57" s="30"/>
      <c r="V57" s="43">
        <f>U57*H57</f>
        <v>0</v>
      </c>
      <c r="W57" s="30">
        <f t="shared" si="100"/>
        <v>0</v>
      </c>
      <c r="X57" s="47">
        <f t="shared" si="101"/>
        <v>0</v>
      </c>
      <c r="Y57" s="30">
        <f t="shared" si="102"/>
        <v>16.149999999999999</v>
      </c>
      <c r="Z57" s="36">
        <f>Y57*H57</f>
        <v>8242.798499999999</v>
      </c>
      <c r="AA57" s="52"/>
      <c r="AB57" s="43">
        <f>AA57*H57</f>
        <v>0</v>
      </c>
      <c r="AC57" s="30"/>
      <c r="AD57" s="43"/>
      <c r="AE57" s="30">
        <f t="shared" si="103"/>
        <v>0</v>
      </c>
      <c r="AF57" s="47">
        <f t="shared" si="104"/>
        <v>0</v>
      </c>
      <c r="AG57" s="30">
        <f t="shared" si="105"/>
        <v>16.149999999999999</v>
      </c>
      <c r="AH57" s="36">
        <f>AG57*H57</f>
        <v>8242.798499999999</v>
      </c>
      <c r="AI57" s="52"/>
      <c r="AJ57" s="43">
        <f t="shared" si="106"/>
        <v>0</v>
      </c>
      <c r="AK57" s="30"/>
      <c r="AL57" s="43"/>
      <c r="AM57" s="30">
        <f t="shared" si="107"/>
        <v>0</v>
      </c>
      <c r="AN57" s="47">
        <f t="shared" si="108"/>
        <v>0</v>
      </c>
      <c r="AO57" s="30">
        <f t="shared" si="109"/>
        <v>16.149999999999999</v>
      </c>
      <c r="AP57" s="36">
        <f>AO57*H57</f>
        <v>8242.798499999999</v>
      </c>
    </row>
    <row r="58" spans="1:42" ht="14.25" customHeight="1" x14ac:dyDescent="0.25">
      <c r="A58" s="91" t="s">
        <v>106</v>
      </c>
      <c r="B58" s="8"/>
      <c r="C58" s="8"/>
      <c r="D58" s="8" t="s">
        <v>107</v>
      </c>
      <c r="E58" s="8"/>
      <c r="F58" s="9"/>
      <c r="G58" s="8"/>
      <c r="H58" s="8"/>
      <c r="I58" s="10">
        <v>55985.86</v>
      </c>
      <c r="J58" s="27">
        <v>3.9961356174161314E-2</v>
      </c>
      <c r="K58" s="185"/>
      <c r="L58" s="185"/>
      <c r="M58" s="185"/>
      <c r="N58" s="185"/>
      <c r="O58" s="32"/>
      <c r="P58" s="44"/>
      <c r="Q58" s="22"/>
      <c r="R58" s="22"/>
      <c r="S58" s="32"/>
      <c r="T58" s="37">
        <f>T59</f>
        <v>55985.866200000004</v>
      </c>
      <c r="U58" s="32"/>
      <c r="V58" s="44"/>
      <c r="W58" s="32"/>
      <c r="X58" s="48"/>
      <c r="Y58" s="32"/>
      <c r="Z58" s="37">
        <f>Z59</f>
        <v>55985.866200000004</v>
      </c>
      <c r="AA58" s="53"/>
      <c r="AB58" s="44"/>
      <c r="AC58" s="32"/>
      <c r="AD58" s="44"/>
      <c r="AE58" s="32"/>
      <c r="AF58" s="48"/>
      <c r="AG58" s="32"/>
      <c r="AH58" s="37">
        <f>AH59</f>
        <v>55985.866200000004</v>
      </c>
      <c r="AI58" s="53"/>
      <c r="AJ58" s="44"/>
      <c r="AK58" s="32"/>
      <c r="AL58" s="44"/>
      <c r="AM58" s="32"/>
      <c r="AN58" s="48"/>
      <c r="AO58" s="32"/>
      <c r="AP58" s="37">
        <f>AP59</f>
        <v>55985.866200000004</v>
      </c>
    </row>
    <row r="59" spans="1:42" ht="51.75" customHeight="1" x14ac:dyDescent="0.25">
      <c r="A59" s="92" t="s">
        <v>660</v>
      </c>
      <c r="B59" s="12" t="s">
        <v>108</v>
      </c>
      <c r="C59" s="11" t="s">
        <v>109</v>
      </c>
      <c r="D59" s="11" t="s">
        <v>110</v>
      </c>
      <c r="E59" s="13" t="s">
        <v>111</v>
      </c>
      <c r="F59" s="62">
        <v>647.46</v>
      </c>
      <c r="G59" s="14">
        <v>70.61</v>
      </c>
      <c r="H59" s="14">
        <v>86.47</v>
      </c>
      <c r="I59" s="14">
        <v>55985.86</v>
      </c>
      <c r="J59" s="28">
        <v>3.9961356174161314E-2</v>
      </c>
      <c r="K59" s="186"/>
      <c r="L59" s="186"/>
      <c r="M59" s="186"/>
      <c r="N59" s="186"/>
      <c r="O59" s="30"/>
      <c r="P59" s="43">
        <f>O59*H59</f>
        <v>0</v>
      </c>
      <c r="Q59" s="30">
        <f>O59</f>
        <v>0</v>
      </c>
      <c r="R59" s="25">
        <f>Q59/F59</f>
        <v>0</v>
      </c>
      <c r="S59" s="30">
        <f>F59-Q59</f>
        <v>647.46</v>
      </c>
      <c r="T59" s="36">
        <f>S59*H59</f>
        <v>55985.866200000004</v>
      </c>
      <c r="U59" s="30"/>
      <c r="V59" s="43">
        <f>U59*H59</f>
        <v>0</v>
      </c>
      <c r="W59" s="30">
        <f>Q59+U59</f>
        <v>0</v>
      </c>
      <c r="X59" s="47">
        <f>W59/$F$8</f>
        <v>0</v>
      </c>
      <c r="Y59" s="30">
        <f t="shared" ref="Y59" si="111">F59-W59</f>
        <v>647.46</v>
      </c>
      <c r="Z59" s="36">
        <f>Y59*H59</f>
        <v>55985.866200000004</v>
      </c>
      <c r="AA59" s="52"/>
      <c r="AB59" s="43">
        <f>AA59*H59</f>
        <v>0</v>
      </c>
      <c r="AC59" s="30"/>
      <c r="AD59" s="43"/>
      <c r="AE59" s="30">
        <f>W59+AC59</f>
        <v>0</v>
      </c>
      <c r="AF59" s="47">
        <f>AE59/$F$8</f>
        <v>0</v>
      </c>
      <c r="AG59" s="30">
        <f t="shared" ref="AG59" si="112">F59-AE59</f>
        <v>647.46</v>
      </c>
      <c r="AH59" s="36">
        <f>AG59*H59</f>
        <v>55985.866200000004</v>
      </c>
      <c r="AI59" s="52"/>
      <c r="AJ59" s="43">
        <f t="shared" ref="AJ59" si="113">AI59*T59</f>
        <v>0</v>
      </c>
      <c r="AK59" s="30"/>
      <c r="AL59" s="43"/>
      <c r="AM59" s="30">
        <f t="shared" ref="AM59" si="114">AE59+AK59</f>
        <v>0</v>
      </c>
      <c r="AN59" s="47">
        <f t="shared" ref="AN59" si="115">AM59/$F$8</f>
        <v>0</v>
      </c>
      <c r="AO59" s="30">
        <f t="shared" ref="AO59" si="116">F59-AM59</f>
        <v>647.46</v>
      </c>
      <c r="AP59" s="36">
        <f>AO59*H59</f>
        <v>55985.866200000004</v>
      </c>
    </row>
    <row r="60" spans="1:42" ht="14.25" customHeight="1" x14ac:dyDescent="0.25">
      <c r="A60" s="91" t="s">
        <v>112</v>
      </c>
      <c r="B60" s="8"/>
      <c r="C60" s="8"/>
      <c r="D60" s="8" t="s">
        <v>113</v>
      </c>
      <c r="E60" s="8"/>
      <c r="F60" s="9"/>
      <c r="G60" s="8"/>
      <c r="H60" s="8"/>
      <c r="I60" s="10">
        <v>11806.48</v>
      </c>
      <c r="J60" s="27">
        <v>8.4271805852962171E-3</v>
      </c>
      <c r="K60" s="185"/>
      <c r="L60" s="185"/>
      <c r="M60" s="185"/>
      <c r="N60" s="185"/>
      <c r="O60" s="32"/>
      <c r="P60" s="44"/>
      <c r="Q60" s="22"/>
      <c r="R60" s="22"/>
      <c r="S60" s="32"/>
      <c r="T60" s="37">
        <f>T61</f>
        <v>11806.48</v>
      </c>
      <c r="U60" s="32"/>
      <c r="V60" s="44"/>
      <c r="W60" s="32"/>
      <c r="X60" s="48"/>
      <c r="Y60" s="32"/>
      <c r="Z60" s="37">
        <f>Z61</f>
        <v>11806.48</v>
      </c>
      <c r="AA60" s="53"/>
      <c r="AB60" s="44"/>
      <c r="AC60" s="32"/>
      <c r="AD60" s="44"/>
      <c r="AE60" s="32"/>
      <c r="AF60" s="48"/>
      <c r="AG60" s="32"/>
      <c r="AH60" s="37">
        <f>AH61</f>
        <v>11806.48</v>
      </c>
      <c r="AI60" s="53"/>
      <c r="AJ60" s="44"/>
      <c r="AK60" s="32"/>
      <c r="AL60" s="44"/>
      <c r="AM60" s="32"/>
      <c r="AN60" s="48"/>
      <c r="AO60" s="32"/>
      <c r="AP60" s="37">
        <f>AP61</f>
        <v>11806.48</v>
      </c>
    </row>
    <row r="61" spans="1:42" ht="25.5" customHeight="1" x14ac:dyDescent="0.25">
      <c r="A61" s="92" t="s">
        <v>661</v>
      </c>
      <c r="B61" s="12" t="s">
        <v>114</v>
      </c>
      <c r="C61" s="11" t="s">
        <v>26</v>
      </c>
      <c r="D61" s="11" t="s">
        <v>115</v>
      </c>
      <c r="E61" s="13" t="s">
        <v>116</v>
      </c>
      <c r="F61" s="12">
        <v>232</v>
      </c>
      <c r="G61" s="14">
        <v>41.56</v>
      </c>
      <c r="H61" s="14">
        <v>50.89</v>
      </c>
      <c r="I61" s="14">
        <v>11806.48</v>
      </c>
      <c r="J61" s="28">
        <v>8.4271805852962171E-3</v>
      </c>
      <c r="K61" s="186"/>
      <c r="L61" s="186"/>
      <c r="M61" s="186"/>
      <c r="N61" s="186"/>
      <c r="O61" s="30"/>
      <c r="P61" s="43">
        <f>O61*H61</f>
        <v>0</v>
      </c>
      <c r="Q61" s="30">
        <f>O61</f>
        <v>0</v>
      </c>
      <c r="R61" s="25">
        <f>Q61/F61</f>
        <v>0</v>
      </c>
      <c r="S61" s="30">
        <f>F61-Q61</f>
        <v>232</v>
      </c>
      <c r="T61" s="36">
        <f>S61*H61</f>
        <v>11806.48</v>
      </c>
      <c r="U61" s="30"/>
      <c r="V61" s="43">
        <f>U61*H61</f>
        <v>0</v>
      </c>
      <c r="W61" s="30">
        <f>Q61+U61</f>
        <v>0</v>
      </c>
      <c r="X61" s="47">
        <f>W61/$F$8</f>
        <v>0</v>
      </c>
      <c r="Y61" s="30">
        <f t="shared" ref="Y61" si="117">F61-W61</f>
        <v>232</v>
      </c>
      <c r="Z61" s="36">
        <f>Y61*H61</f>
        <v>11806.48</v>
      </c>
      <c r="AA61" s="52"/>
      <c r="AB61" s="43">
        <f>AA61*H61</f>
        <v>0</v>
      </c>
      <c r="AC61" s="30"/>
      <c r="AD61" s="43"/>
      <c r="AE61" s="30">
        <f>W61+AC61</f>
        <v>0</v>
      </c>
      <c r="AF61" s="47">
        <f>AE61/$F$8</f>
        <v>0</v>
      </c>
      <c r="AG61" s="30">
        <f t="shared" ref="AG61" si="118">F61-AE61</f>
        <v>232</v>
      </c>
      <c r="AH61" s="36">
        <f>AG61*H61</f>
        <v>11806.48</v>
      </c>
      <c r="AI61" s="52"/>
      <c r="AJ61" s="43">
        <f t="shared" ref="AJ61" si="119">AI61*T61</f>
        <v>0</v>
      </c>
      <c r="AK61" s="30"/>
      <c r="AL61" s="43"/>
      <c r="AM61" s="30">
        <f t="shared" ref="AM61" si="120">AE61+AK61</f>
        <v>0</v>
      </c>
      <c r="AN61" s="47">
        <f t="shared" ref="AN61" si="121">AM61/$F$8</f>
        <v>0</v>
      </c>
      <c r="AO61" s="30">
        <f t="shared" ref="AO61" si="122">F61-AM61</f>
        <v>232</v>
      </c>
      <c r="AP61" s="36">
        <f>AO61*H61</f>
        <v>11806.48</v>
      </c>
    </row>
    <row r="62" spans="1:42" ht="14.25" customHeight="1" x14ac:dyDescent="0.25">
      <c r="A62" s="91" t="s">
        <v>117</v>
      </c>
      <c r="B62" s="8"/>
      <c r="C62" s="8"/>
      <c r="D62" s="8" t="s">
        <v>118</v>
      </c>
      <c r="E62" s="8"/>
      <c r="F62" s="9"/>
      <c r="G62" s="8"/>
      <c r="H62" s="8"/>
      <c r="I62" s="10">
        <v>53575.28</v>
      </c>
      <c r="J62" s="27">
        <v>3.8240742326909348E-2</v>
      </c>
      <c r="K62" s="185"/>
      <c r="L62" s="185"/>
      <c r="M62" s="185"/>
      <c r="N62" s="185"/>
      <c r="O62" s="32"/>
      <c r="P62" s="44"/>
      <c r="Q62" s="22"/>
      <c r="R62" s="22"/>
      <c r="S62" s="32"/>
      <c r="T62" s="37">
        <f>SUM(T63:T65)</f>
        <v>53575.293899999997</v>
      </c>
      <c r="U62" s="32"/>
      <c r="V62" s="44"/>
      <c r="W62" s="32"/>
      <c r="X62" s="48"/>
      <c r="Y62" s="32"/>
      <c r="Z62" s="37">
        <f>SUM(Z63:Z65)</f>
        <v>49054.463739999999</v>
      </c>
      <c r="AA62" s="53"/>
      <c r="AB62" s="44"/>
      <c r="AC62" s="32"/>
      <c r="AD62" s="44"/>
      <c r="AE62" s="32"/>
      <c r="AF62" s="48"/>
      <c r="AG62" s="32"/>
      <c r="AH62" s="37">
        <f>SUM(AH63:AH65)</f>
        <v>49054.463739999999</v>
      </c>
      <c r="AI62" s="53"/>
      <c r="AJ62" s="44"/>
      <c r="AK62" s="32"/>
      <c r="AL62" s="44"/>
      <c r="AM62" s="32"/>
      <c r="AN62" s="48"/>
      <c r="AO62" s="32"/>
      <c r="AP62" s="37">
        <f>SUM(AP63:AP65)</f>
        <v>49054.463739999999</v>
      </c>
    </row>
    <row r="63" spans="1:42" ht="14.25" customHeight="1" x14ac:dyDescent="0.25">
      <c r="A63" s="92" t="s">
        <v>662</v>
      </c>
      <c r="B63" s="12" t="s">
        <v>119</v>
      </c>
      <c r="C63" s="11" t="s">
        <v>26</v>
      </c>
      <c r="D63" s="11" t="s">
        <v>120</v>
      </c>
      <c r="E63" s="13" t="s">
        <v>24</v>
      </c>
      <c r="F63" s="12">
        <v>914.03</v>
      </c>
      <c r="G63" s="14">
        <v>37.1</v>
      </c>
      <c r="H63" s="14">
        <v>45.43</v>
      </c>
      <c r="I63" s="14">
        <v>41524.379999999997</v>
      </c>
      <c r="J63" s="28">
        <v>2.9639100642398285E-2</v>
      </c>
      <c r="K63" s="186"/>
      <c r="L63" s="186"/>
      <c r="M63" s="186"/>
      <c r="N63" s="186"/>
      <c r="O63" s="30"/>
      <c r="P63" s="43">
        <f t="shared" ref="P63:P65" si="123">O63*H63</f>
        <v>0</v>
      </c>
      <c r="Q63" s="30">
        <f>O63</f>
        <v>0</v>
      </c>
      <c r="R63" s="25">
        <f>Q63/F63</f>
        <v>0</v>
      </c>
      <c r="S63" s="30">
        <f>F63-Q63</f>
        <v>914.03</v>
      </c>
      <c r="T63" s="36">
        <f>S63*H63</f>
        <v>41524.382899999997</v>
      </c>
      <c r="U63" s="97">
        <f>'MEMORIA DE CALCULO'!H418</f>
        <v>99.512</v>
      </c>
      <c r="V63" s="43">
        <f>U63*H63</f>
        <v>4520.8301600000004</v>
      </c>
      <c r="W63" s="30">
        <f t="shared" ref="W63:W65" si="124">Q63+U63</f>
        <v>99.512</v>
      </c>
      <c r="X63" s="47">
        <f t="shared" ref="X63:X65" si="125">W63/$F$8</f>
        <v>0.56540909090909086</v>
      </c>
      <c r="Y63" s="30">
        <f t="shared" ref="Y63:Y65" si="126">F63-W63</f>
        <v>814.51800000000003</v>
      </c>
      <c r="Z63" s="36">
        <f>Y63*H63</f>
        <v>37003.552739999999</v>
      </c>
      <c r="AA63" s="52"/>
      <c r="AB63" s="43">
        <f>AA63*H63</f>
        <v>0</v>
      </c>
      <c r="AC63" s="30"/>
      <c r="AD63" s="43"/>
      <c r="AE63" s="30">
        <f t="shared" ref="AE63:AE65" si="127">W63+AC63</f>
        <v>99.512</v>
      </c>
      <c r="AF63" s="47">
        <f t="shared" ref="AF63:AF65" si="128">AE63/$F$8</f>
        <v>0.56540909090909086</v>
      </c>
      <c r="AG63" s="30">
        <f t="shared" ref="AG63:AG65" si="129">F63-AE63</f>
        <v>814.51800000000003</v>
      </c>
      <c r="AH63" s="36">
        <f>AG63*H63</f>
        <v>37003.552739999999</v>
      </c>
      <c r="AI63" s="52"/>
      <c r="AJ63" s="43">
        <f t="shared" ref="AJ63:AJ65" si="130">AI63*T63</f>
        <v>0</v>
      </c>
      <c r="AK63" s="30"/>
      <c r="AL63" s="43"/>
      <c r="AM63" s="30">
        <f t="shared" ref="AM63:AM65" si="131">AE63+AK63</f>
        <v>99.512</v>
      </c>
      <c r="AN63" s="47">
        <f t="shared" ref="AN63:AN65" si="132">AM63/$F$8</f>
        <v>0.56540909090909086</v>
      </c>
      <c r="AO63" s="30">
        <f t="shared" ref="AO63:AO65" si="133">F63-AM63</f>
        <v>814.51800000000003</v>
      </c>
      <c r="AP63" s="36">
        <f>AO63*H63</f>
        <v>37003.552739999999</v>
      </c>
    </row>
    <row r="64" spans="1:42" ht="25.5" customHeight="1" x14ac:dyDescent="0.25">
      <c r="A64" s="92" t="s">
        <v>663</v>
      </c>
      <c r="B64" s="12" t="s">
        <v>121</v>
      </c>
      <c r="C64" s="11" t="s">
        <v>26</v>
      </c>
      <c r="D64" s="11" t="s">
        <v>122</v>
      </c>
      <c r="E64" s="13" t="s">
        <v>116</v>
      </c>
      <c r="F64" s="12">
        <v>295.3</v>
      </c>
      <c r="G64" s="14">
        <v>17.8</v>
      </c>
      <c r="H64" s="14">
        <v>21.79</v>
      </c>
      <c r="I64" s="14">
        <v>6434.58</v>
      </c>
      <c r="J64" s="28">
        <v>4.5928479657387578E-3</v>
      </c>
      <c r="K64" s="186"/>
      <c r="L64" s="186"/>
      <c r="M64" s="186"/>
      <c r="N64" s="186"/>
      <c r="O64" s="30"/>
      <c r="P64" s="43">
        <f t="shared" si="123"/>
        <v>0</v>
      </c>
      <c r="Q64" s="30">
        <f>O64</f>
        <v>0</v>
      </c>
      <c r="R64" s="25">
        <f>Q64/F64</f>
        <v>0</v>
      </c>
      <c r="S64" s="30">
        <f>F64-Q64</f>
        <v>295.3</v>
      </c>
      <c r="T64" s="36">
        <f>S64*H64</f>
        <v>6434.5870000000004</v>
      </c>
      <c r="U64" s="30"/>
      <c r="V64" s="43">
        <f>U64*H64</f>
        <v>0</v>
      </c>
      <c r="W64" s="30">
        <f t="shared" si="124"/>
        <v>0</v>
      </c>
      <c r="X64" s="47">
        <f t="shared" si="125"/>
        <v>0</v>
      </c>
      <c r="Y64" s="30">
        <f t="shared" si="126"/>
        <v>295.3</v>
      </c>
      <c r="Z64" s="36">
        <f>Y64*H64</f>
        <v>6434.5870000000004</v>
      </c>
      <c r="AA64" s="52"/>
      <c r="AB64" s="43">
        <f>AA64*H64</f>
        <v>0</v>
      </c>
      <c r="AC64" s="30"/>
      <c r="AD64" s="43"/>
      <c r="AE64" s="30">
        <f t="shared" si="127"/>
        <v>0</v>
      </c>
      <c r="AF64" s="47">
        <f t="shared" si="128"/>
        <v>0</v>
      </c>
      <c r="AG64" s="30">
        <f t="shared" si="129"/>
        <v>295.3</v>
      </c>
      <c r="AH64" s="36">
        <f>AG64*H64</f>
        <v>6434.5870000000004</v>
      </c>
      <c r="AI64" s="52"/>
      <c r="AJ64" s="43">
        <f t="shared" si="130"/>
        <v>0</v>
      </c>
      <c r="AK64" s="30"/>
      <c r="AL64" s="43"/>
      <c r="AM64" s="30">
        <f t="shared" si="131"/>
        <v>0</v>
      </c>
      <c r="AN64" s="47">
        <f t="shared" si="132"/>
        <v>0</v>
      </c>
      <c r="AO64" s="30">
        <f t="shared" si="133"/>
        <v>295.3</v>
      </c>
      <c r="AP64" s="36">
        <f>AO64*H64</f>
        <v>6434.5870000000004</v>
      </c>
    </row>
    <row r="65" spans="1:42" ht="14.25" customHeight="1" x14ac:dyDescent="0.25">
      <c r="A65" s="92" t="s">
        <v>664</v>
      </c>
      <c r="B65" s="12" t="s">
        <v>123</v>
      </c>
      <c r="C65" s="11" t="s">
        <v>29</v>
      </c>
      <c r="D65" s="11" t="s">
        <v>124</v>
      </c>
      <c r="E65" s="13" t="s">
        <v>24</v>
      </c>
      <c r="F65" s="12">
        <v>12.92</v>
      </c>
      <c r="G65" s="14">
        <v>354.95</v>
      </c>
      <c r="H65" s="14">
        <v>434.7</v>
      </c>
      <c r="I65" s="14">
        <v>5616.32</v>
      </c>
      <c r="J65" s="28">
        <v>4.0087937187723056E-3</v>
      </c>
      <c r="K65" s="186"/>
      <c r="L65" s="186"/>
      <c r="M65" s="186"/>
      <c r="N65" s="186"/>
      <c r="O65" s="30"/>
      <c r="P65" s="43">
        <f t="shared" si="123"/>
        <v>0</v>
      </c>
      <c r="Q65" s="30">
        <f t="shared" ref="Q65" si="134">O65</f>
        <v>0</v>
      </c>
      <c r="R65" s="25">
        <f>Q65/F65</f>
        <v>0</v>
      </c>
      <c r="S65" s="30">
        <f>F65-Q65</f>
        <v>12.92</v>
      </c>
      <c r="T65" s="36">
        <f>S65*H65</f>
        <v>5616.3239999999996</v>
      </c>
      <c r="U65" s="30"/>
      <c r="V65" s="43">
        <f>U65*H65</f>
        <v>0</v>
      </c>
      <c r="W65" s="30">
        <f t="shared" si="124"/>
        <v>0</v>
      </c>
      <c r="X65" s="47">
        <f t="shared" si="125"/>
        <v>0</v>
      </c>
      <c r="Y65" s="30">
        <f t="shared" si="126"/>
        <v>12.92</v>
      </c>
      <c r="Z65" s="36">
        <f>Y65*H65</f>
        <v>5616.3239999999996</v>
      </c>
      <c r="AA65" s="52"/>
      <c r="AB65" s="43">
        <f>AA65*H65</f>
        <v>0</v>
      </c>
      <c r="AC65" s="30"/>
      <c r="AD65" s="43"/>
      <c r="AE65" s="30">
        <f t="shared" si="127"/>
        <v>0</v>
      </c>
      <c r="AF65" s="47">
        <f t="shared" si="128"/>
        <v>0</v>
      </c>
      <c r="AG65" s="30">
        <f t="shared" si="129"/>
        <v>12.92</v>
      </c>
      <c r="AH65" s="36">
        <f>AG65*H65</f>
        <v>5616.3239999999996</v>
      </c>
      <c r="AI65" s="52"/>
      <c r="AJ65" s="43">
        <f t="shared" si="130"/>
        <v>0</v>
      </c>
      <c r="AK65" s="30"/>
      <c r="AL65" s="43"/>
      <c r="AM65" s="30">
        <f t="shared" si="131"/>
        <v>0</v>
      </c>
      <c r="AN65" s="47">
        <f t="shared" si="132"/>
        <v>0</v>
      </c>
      <c r="AO65" s="30">
        <f t="shared" si="133"/>
        <v>12.92</v>
      </c>
      <c r="AP65" s="36">
        <f>AO65*H65</f>
        <v>5616.3239999999996</v>
      </c>
    </row>
    <row r="66" spans="1:42" ht="14.25" customHeight="1" x14ac:dyDescent="0.25">
      <c r="A66" s="91" t="s">
        <v>125</v>
      </c>
      <c r="B66" s="8"/>
      <c r="C66" s="8"/>
      <c r="D66" s="8" t="s">
        <v>126</v>
      </c>
      <c r="E66" s="8"/>
      <c r="F66" s="9"/>
      <c r="G66" s="8"/>
      <c r="H66" s="8"/>
      <c r="I66" s="10">
        <v>149488.57</v>
      </c>
      <c r="J66" s="27">
        <v>0.10670133476088509</v>
      </c>
      <c r="K66" s="185"/>
      <c r="L66" s="185"/>
      <c r="M66" s="185"/>
      <c r="N66" s="185"/>
      <c r="O66" s="32"/>
      <c r="P66" s="44"/>
      <c r="Q66" s="22"/>
      <c r="R66" s="22"/>
      <c r="S66" s="32"/>
      <c r="T66" s="37"/>
      <c r="U66" s="32"/>
      <c r="V66" s="44"/>
      <c r="W66" s="32"/>
      <c r="X66" s="48"/>
      <c r="Y66" s="32"/>
      <c r="Z66" s="37"/>
      <c r="AA66" s="53"/>
      <c r="AB66" s="44"/>
      <c r="AC66" s="32"/>
      <c r="AD66" s="44"/>
      <c r="AE66" s="32"/>
      <c r="AF66" s="48"/>
      <c r="AG66" s="32"/>
      <c r="AH66" s="37"/>
      <c r="AI66" s="53"/>
      <c r="AJ66" s="44"/>
      <c r="AK66" s="32"/>
      <c r="AL66" s="44"/>
      <c r="AM66" s="32"/>
      <c r="AN66" s="48"/>
      <c r="AO66" s="32"/>
      <c r="AP66" s="37"/>
    </row>
    <row r="67" spans="1:42" ht="14.25" customHeight="1" x14ac:dyDescent="0.25">
      <c r="A67" s="91" t="s">
        <v>127</v>
      </c>
      <c r="B67" s="8"/>
      <c r="C67" s="8"/>
      <c r="D67" s="8" t="s">
        <v>128</v>
      </c>
      <c r="E67" s="8"/>
      <c r="F67" s="9"/>
      <c r="G67" s="8"/>
      <c r="H67" s="8"/>
      <c r="I67" s="10">
        <v>25618.06</v>
      </c>
      <c r="J67" s="27">
        <v>1.8285553176302642E-2</v>
      </c>
      <c r="K67" s="185"/>
      <c r="L67" s="185"/>
      <c r="M67" s="185"/>
      <c r="N67" s="185"/>
      <c r="O67" s="32"/>
      <c r="P67" s="44"/>
      <c r="Q67" s="22"/>
      <c r="R67" s="22"/>
      <c r="S67" s="32"/>
      <c r="T67" s="37">
        <f>SUM(T68:T74)</f>
        <v>25618.06</v>
      </c>
      <c r="U67" s="32"/>
      <c r="V67" s="44"/>
      <c r="W67" s="32"/>
      <c r="X67" s="48"/>
      <c r="Y67" s="32"/>
      <c r="Z67" s="37">
        <f>SUM(Z68:Z74)</f>
        <v>25618.06</v>
      </c>
      <c r="AA67" s="53"/>
      <c r="AB67" s="44"/>
      <c r="AC67" s="32"/>
      <c r="AD67" s="44"/>
      <c r="AE67" s="32"/>
      <c r="AF67" s="48"/>
      <c r="AG67" s="32"/>
      <c r="AH67" s="37">
        <f>SUM(AH68:AH74)</f>
        <v>25618.06</v>
      </c>
      <c r="AI67" s="53"/>
      <c r="AJ67" s="44"/>
      <c r="AK67" s="32"/>
      <c r="AL67" s="44"/>
      <c r="AM67" s="32"/>
      <c r="AN67" s="48"/>
      <c r="AO67" s="32"/>
      <c r="AP67" s="37">
        <f>SUM(AP68:AP74)</f>
        <v>25618.06</v>
      </c>
    </row>
    <row r="68" spans="1:42" ht="64.5" customHeight="1" x14ac:dyDescent="0.25">
      <c r="A68" s="92" t="s">
        <v>665</v>
      </c>
      <c r="B68" s="12" t="s">
        <v>129</v>
      </c>
      <c r="C68" s="11" t="s">
        <v>26</v>
      </c>
      <c r="D68" s="11" t="s">
        <v>130</v>
      </c>
      <c r="E68" s="13" t="s">
        <v>31</v>
      </c>
      <c r="F68" s="12">
        <v>7</v>
      </c>
      <c r="G68" s="14">
        <v>730.3</v>
      </c>
      <c r="H68" s="14">
        <v>894.39</v>
      </c>
      <c r="I68" s="14">
        <v>6260.73</v>
      </c>
      <c r="J68" s="28">
        <v>4.4687580299785871E-3</v>
      </c>
      <c r="K68" s="186"/>
      <c r="L68" s="186"/>
      <c r="M68" s="186"/>
      <c r="N68" s="186"/>
      <c r="O68" s="30"/>
      <c r="P68" s="43">
        <f t="shared" ref="P68:P74" si="135">O68*H68</f>
        <v>0</v>
      </c>
      <c r="Q68" s="30">
        <f>O68</f>
        <v>0</v>
      </c>
      <c r="R68" s="25">
        <f t="shared" ref="R68:R74" si="136">Q68/F68</f>
        <v>0</v>
      </c>
      <c r="S68" s="30">
        <f t="shared" ref="S68:S74" si="137">F68-Q68</f>
        <v>7</v>
      </c>
      <c r="T68" s="36">
        <f t="shared" ref="T68:T74" si="138">S68*H68</f>
        <v>6260.73</v>
      </c>
      <c r="U68" s="30"/>
      <c r="V68" s="43">
        <f t="shared" ref="V68:V74" si="139">U68*H68</f>
        <v>0</v>
      </c>
      <c r="W68" s="30">
        <f t="shared" ref="W68:W74" si="140">Q68+U68</f>
        <v>0</v>
      </c>
      <c r="X68" s="47">
        <f t="shared" ref="X68:X74" si="141">W68/$F$8</f>
        <v>0</v>
      </c>
      <c r="Y68" s="30">
        <f t="shared" ref="Y68:Y74" si="142">F68-W68</f>
        <v>7</v>
      </c>
      <c r="Z68" s="36">
        <f t="shared" ref="Z68:Z74" si="143">Y68*H68</f>
        <v>6260.73</v>
      </c>
      <c r="AA68" s="52"/>
      <c r="AB68" s="43">
        <f t="shared" ref="AB68:AB74" si="144">AA68*H68</f>
        <v>0</v>
      </c>
      <c r="AC68" s="30"/>
      <c r="AD68" s="43"/>
      <c r="AE68" s="30">
        <f t="shared" ref="AE68:AE74" si="145">W68+AC68</f>
        <v>0</v>
      </c>
      <c r="AF68" s="47">
        <f t="shared" ref="AF68:AF74" si="146">AE68/$F$8</f>
        <v>0</v>
      </c>
      <c r="AG68" s="30">
        <f t="shared" ref="AG68:AG74" si="147">F68-AE68</f>
        <v>7</v>
      </c>
      <c r="AH68" s="36">
        <f t="shared" ref="AH68:AH74" si="148">AG68*H68</f>
        <v>6260.73</v>
      </c>
      <c r="AI68" s="52"/>
      <c r="AJ68" s="43">
        <f t="shared" ref="AJ68:AJ74" si="149">AI68*T68</f>
        <v>0</v>
      </c>
      <c r="AK68" s="30"/>
      <c r="AL68" s="43"/>
      <c r="AM68" s="30">
        <f t="shared" ref="AM68:AM74" si="150">AE68+AK68</f>
        <v>0</v>
      </c>
      <c r="AN68" s="47">
        <f t="shared" ref="AN68:AN74" si="151">AM68/$F$8</f>
        <v>0</v>
      </c>
      <c r="AO68" s="30">
        <f t="shared" ref="AO68:AO74" si="152">F68-AM68</f>
        <v>7</v>
      </c>
      <c r="AP68" s="36">
        <f t="shared" ref="AP68:AP74" si="153">AO68*H68</f>
        <v>6260.73</v>
      </c>
    </row>
    <row r="69" spans="1:42" ht="64.5" customHeight="1" x14ac:dyDescent="0.25">
      <c r="A69" s="92" t="s">
        <v>666</v>
      </c>
      <c r="B69" s="12" t="s">
        <v>131</v>
      </c>
      <c r="C69" s="11" t="s">
        <v>26</v>
      </c>
      <c r="D69" s="11" t="s">
        <v>132</v>
      </c>
      <c r="E69" s="13" t="s">
        <v>31</v>
      </c>
      <c r="F69" s="12">
        <v>7</v>
      </c>
      <c r="G69" s="14">
        <v>606.26</v>
      </c>
      <c r="H69" s="14">
        <v>742.48</v>
      </c>
      <c r="I69" s="14">
        <v>5197.3599999999997</v>
      </c>
      <c r="J69" s="28">
        <v>3.7097501784439687E-3</v>
      </c>
      <c r="K69" s="186"/>
      <c r="L69" s="186"/>
      <c r="M69" s="186"/>
      <c r="N69" s="186"/>
      <c r="O69" s="30"/>
      <c r="P69" s="43">
        <f t="shared" si="135"/>
        <v>0</v>
      </c>
      <c r="Q69" s="30">
        <f>O69</f>
        <v>0</v>
      </c>
      <c r="R69" s="25">
        <f t="shared" si="136"/>
        <v>0</v>
      </c>
      <c r="S69" s="30">
        <f t="shared" si="137"/>
        <v>7</v>
      </c>
      <c r="T69" s="36">
        <f t="shared" si="138"/>
        <v>5197.3600000000006</v>
      </c>
      <c r="U69" s="30"/>
      <c r="V69" s="43">
        <f t="shared" si="139"/>
        <v>0</v>
      </c>
      <c r="W69" s="30">
        <f t="shared" si="140"/>
        <v>0</v>
      </c>
      <c r="X69" s="47">
        <f t="shared" si="141"/>
        <v>0</v>
      </c>
      <c r="Y69" s="30">
        <f t="shared" si="142"/>
        <v>7</v>
      </c>
      <c r="Z69" s="36">
        <f t="shared" si="143"/>
        <v>5197.3600000000006</v>
      </c>
      <c r="AA69" s="52"/>
      <c r="AB69" s="43">
        <f t="shared" si="144"/>
        <v>0</v>
      </c>
      <c r="AC69" s="30"/>
      <c r="AD69" s="43"/>
      <c r="AE69" s="30">
        <f t="shared" si="145"/>
        <v>0</v>
      </c>
      <c r="AF69" s="47">
        <f t="shared" si="146"/>
        <v>0</v>
      </c>
      <c r="AG69" s="30">
        <f t="shared" si="147"/>
        <v>7</v>
      </c>
      <c r="AH69" s="36">
        <f t="shared" si="148"/>
        <v>5197.3600000000006</v>
      </c>
      <c r="AI69" s="52"/>
      <c r="AJ69" s="43">
        <f t="shared" si="149"/>
        <v>0</v>
      </c>
      <c r="AK69" s="30"/>
      <c r="AL69" s="43"/>
      <c r="AM69" s="30">
        <f t="shared" si="150"/>
        <v>0</v>
      </c>
      <c r="AN69" s="47">
        <f t="shared" si="151"/>
        <v>0</v>
      </c>
      <c r="AO69" s="30">
        <f t="shared" si="152"/>
        <v>7</v>
      </c>
      <c r="AP69" s="36">
        <f t="shared" si="153"/>
        <v>5197.3600000000006</v>
      </c>
    </row>
    <row r="70" spans="1:42" ht="14.25" customHeight="1" x14ac:dyDescent="0.25">
      <c r="A70" s="92" t="s">
        <v>667</v>
      </c>
      <c r="B70" s="12" t="s">
        <v>129</v>
      </c>
      <c r="C70" s="11" t="s">
        <v>26</v>
      </c>
      <c r="D70" s="11" t="s">
        <v>130</v>
      </c>
      <c r="E70" s="13" t="s">
        <v>31</v>
      </c>
      <c r="F70" s="12">
        <v>2</v>
      </c>
      <c r="G70" s="14">
        <v>730.3</v>
      </c>
      <c r="H70" s="14">
        <v>894.39</v>
      </c>
      <c r="I70" s="14">
        <v>1788.78</v>
      </c>
      <c r="J70" s="28">
        <v>1.2767880085653104E-3</v>
      </c>
      <c r="K70" s="186"/>
      <c r="L70" s="186"/>
      <c r="M70" s="186"/>
      <c r="N70" s="186"/>
      <c r="O70" s="30"/>
      <c r="P70" s="43">
        <f t="shared" si="135"/>
        <v>0</v>
      </c>
      <c r="Q70" s="30">
        <f t="shared" ref="Q70:Q72" si="154">O70</f>
        <v>0</v>
      </c>
      <c r="R70" s="25">
        <f t="shared" si="136"/>
        <v>0</v>
      </c>
      <c r="S70" s="30">
        <f t="shared" si="137"/>
        <v>2</v>
      </c>
      <c r="T70" s="36">
        <f t="shared" si="138"/>
        <v>1788.78</v>
      </c>
      <c r="U70" s="30"/>
      <c r="V70" s="43">
        <f t="shared" si="139"/>
        <v>0</v>
      </c>
      <c r="W70" s="30">
        <f t="shared" si="140"/>
        <v>0</v>
      </c>
      <c r="X70" s="47">
        <f t="shared" si="141"/>
        <v>0</v>
      </c>
      <c r="Y70" s="30">
        <f t="shared" si="142"/>
        <v>2</v>
      </c>
      <c r="Z70" s="36">
        <f t="shared" si="143"/>
        <v>1788.78</v>
      </c>
      <c r="AA70" s="52"/>
      <c r="AB70" s="43">
        <f t="shared" si="144"/>
        <v>0</v>
      </c>
      <c r="AC70" s="30"/>
      <c r="AD70" s="43"/>
      <c r="AE70" s="30">
        <f t="shared" si="145"/>
        <v>0</v>
      </c>
      <c r="AF70" s="47">
        <f t="shared" si="146"/>
        <v>0</v>
      </c>
      <c r="AG70" s="30">
        <f t="shared" si="147"/>
        <v>2</v>
      </c>
      <c r="AH70" s="36">
        <f t="shared" si="148"/>
        <v>1788.78</v>
      </c>
      <c r="AI70" s="52"/>
      <c r="AJ70" s="43">
        <f t="shared" si="149"/>
        <v>0</v>
      </c>
      <c r="AK70" s="30"/>
      <c r="AL70" s="43"/>
      <c r="AM70" s="30">
        <f t="shared" si="150"/>
        <v>0</v>
      </c>
      <c r="AN70" s="47">
        <f t="shared" si="151"/>
        <v>0</v>
      </c>
      <c r="AO70" s="30">
        <f t="shared" si="152"/>
        <v>2</v>
      </c>
      <c r="AP70" s="36">
        <f t="shared" si="153"/>
        <v>1788.78</v>
      </c>
    </row>
    <row r="71" spans="1:42" ht="14.25" customHeight="1" x14ac:dyDescent="0.25">
      <c r="A71" s="92" t="s">
        <v>668</v>
      </c>
      <c r="B71" s="12" t="s">
        <v>133</v>
      </c>
      <c r="C71" s="11" t="s">
        <v>109</v>
      </c>
      <c r="D71" s="11" t="s">
        <v>134</v>
      </c>
      <c r="E71" s="13" t="s">
        <v>31</v>
      </c>
      <c r="F71" s="12">
        <v>1</v>
      </c>
      <c r="G71" s="14">
        <v>986.59</v>
      </c>
      <c r="H71" s="14">
        <v>1208.27</v>
      </c>
      <c r="I71" s="14">
        <v>1208.27</v>
      </c>
      <c r="J71" s="28">
        <v>8.624339757316203E-4</v>
      </c>
      <c r="K71" s="186"/>
      <c r="L71" s="186"/>
      <c r="M71" s="186"/>
      <c r="N71" s="186"/>
      <c r="O71" s="30"/>
      <c r="P71" s="43">
        <f t="shared" si="135"/>
        <v>0</v>
      </c>
      <c r="Q71" s="30">
        <f t="shared" si="154"/>
        <v>0</v>
      </c>
      <c r="R71" s="25">
        <f t="shared" si="136"/>
        <v>0</v>
      </c>
      <c r="S71" s="30">
        <f t="shared" si="137"/>
        <v>1</v>
      </c>
      <c r="T71" s="36">
        <f t="shared" si="138"/>
        <v>1208.27</v>
      </c>
      <c r="U71" s="30"/>
      <c r="V71" s="43">
        <f t="shared" si="139"/>
        <v>0</v>
      </c>
      <c r="W71" s="30">
        <f t="shared" si="140"/>
        <v>0</v>
      </c>
      <c r="X71" s="47">
        <f t="shared" si="141"/>
        <v>0</v>
      </c>
      <c r="Y71" s="30">
        <f t="shared" si="142"/>
        <v>1</v>
      </c>
      <c r="Z71" s="36">
        <f t="shared" si="143"/>
        <v>1208.27</v>
      </c>
      <c r="AA71" s="52"/>
      <c r="AB71" s="43">
        <f t="shared" si="144"/>
        <v>0</v>
      </c>
      <c r="AC71" s="30"/>
      <c r="AD71" s="43"/>
      <c r="AE71" s="30">
        <f t="shared" si="145"/>
        <v>0</v>
      </c>
      <c r="AF71" s="47">
        <f t="shared" si="146"/>
        <v>0</v>
      </c>
      <c r="AG71" s="30">
        <f t="shared" si="147"/>
        <v>1</v>
      </c>
      <c r="AH71" s="36">
        <f t="shared" si="148"/>
        <v>1208.27</v>
      </c>
      <c r="AI71" s="52"/>
      <c r="AJ71" s="43">
        <f t="shared" si="149"/>
        <v>0</v>
      </c>
      <c r="AK71" s="30"/>
      <c r="AL71" s="43"/>
      <c r="AM71" s="30">
        <f t="shared" si="150"/>
        <v>0</v>
      </c>
      <c r="AN71" s="47">
        <f t="shared" si="151"/>
        <v>0</v>
      </c>
      <c r="AO71" s="30">
        <f t="shared" si="152"/>
        <v>1</v>
      </c>
      <c r="AP71" s="36">
        <f t="shared" si="153"/>
        <v>1208.27</v>
      </c>
    </row>
    <row r="72" spans="1:42" ht="14.25" customHeight="1" x14ac:dyDescent="0.25">
      <c r="A72" s="92" t="s">
        <v>669</v>
      </c>
      <c r="B72" s="12" t="s">
        <v>135</v>
      </c>
      <c r="C72" s="11" t="s">
        <v>26</v>
      </c>
      <c r="D72" s="11" t="s">
        <v>136</v>
      </c>
      <c r="E72" s="13" t="s">
        <v>31</v>
      </c>
      <c r="F72" s="12">
        <v>3</v>
      </c>
      <c r="G72" s="14">
        <v>988.77</v>
      </c>
      <c r="H72" s="14">
        <v>1210.94</v>
      </c>
      <c r="I72" s="14">
        <v>3632.82</v>
      </c>
      <c r="J72" s="28">
        <v>2.593019271948608E-3</v>
      </c>
      <c r="K72" s="186"/>
      <c r="L72" s="186"/>
      <c r="M72" s="186"/>
      <c r="N72" s="186"/>
      <c r="O72" s="30"/>
      <c r="P72" s="43">
        <f t="shared" si="135"/>
        <v>0</v>
      </c>
      <c r="Q72" s="30">
        <f t="shared" si="154"/>
        <v>0</v>
      </c>
      <c r="R72" s="25">
        <f t="shared" si="136"/>
        <v>0</v>
      </c>
      <c r="S72" s="30">
        <f t="shared" si="137"/>
        <v>3</v>
      </c>
      <c r="T72" s="36">
        <f t="shared" si="138"/>
        <v>3632.82</v>
      </c>
      <c r="U72" s="30"/>
      <c r="V72" s="43">
        <f t="shared" si="139"/>
        <v>0</v>
      </c>
      <c r="W72" s="30">
        <f t="shared" si="140"/>
        <v>0</v>
      </c>
      <c r="X72" s="47">
        <f t="shared" si="141"/>
        <v>0</v>
      </c>
      <c r="Y72" s="30">
        <f t="shared" si="142"/>
        <v>3</v>
      </c>
      <c r="Z72" s="36">
        <f t="shared" si="143"/>
        <v>3632.82</v>
      </c>
      <c r="AA72" s="52"/>
      <c r="AB72" s="43">
        <f t="shared" si="144"/>
        <v>0</v>
      </c>
      <c r="AC72" s="30"/>
      <c r="AD72" s="43"/>
      <c r="AE72" s="30">
        <f t="shared" si="145"/>
        <v>0</v>
      </c>
      <c r="AF72" s="47">
        <f t="shared" si="146"/>
        <v>0</v>
      </c>
      <c r="AG72" s="30">
        <f t="shared" si="147"/>
        <v>3</v>
      </c>
      <c r="AH72" s="36">
        <f t="shared" si="148"/>
        <v>3632.82</v>
      </c>
      <c r="AI72" s="52"/>
      <c r="AJ72" s="43">
        <f t="shared" si="149"/>
        <v>0</v>
      </c>
      <c r="AK72" s="30"/>
      <c r="AL72" s="43"/>
      <c r="AM72" s="30">
        <f t="shared" si="150"/>
        <v>0</v>
      </c>
      <c r="AN72" s="47">
        <f t="shared" si="151"/>
        <v>0</v>
      </c>
      <c r="AO72" s="30">
        <f t="shared" si="152"/>
        <v>3</v>
      </c>
      <c r="AP72" s="36">
        <f t="shared" si="153"/>
        <v>3632.82</v>
      </c>
    </row>
    <row r="73" spans="1:42" ht="14.25" customHeight="1" x14ac:dyDescent="0.25">
      <c r="A73" s="92" t="s">
        <v>670</v>
      </c>
      <c r="B73" s="12" t="s">
        <v>137</v>
      </c>
      <c r="C73" s="11" t="s">
        <v>109</v>
      </c>
      <c r="D73" s="11" t="s">
        <v>138</v>
      </c>
      <c r="E73" s="13" t="s">
        <v>31</v>
      </c>
      <c r="F73" s="12">
        <v>3</v>
      </c>
      <c r="G73" s="14">
        <v>1125.06</v>
      </c>
      <c r="H73" s="14">
        <v>1377.86</v>
      </c>
      <c r="I73" s="14">
        <v>4133.58</v>
      </c>
      <c r="J73" s="28">
        <v>2.9504496788008566E-3</v>
      </c>
      <c r="K73" s="186"/>
      <c r="L73" s="186"/>
      <c r="M73" s="186"/>
      <c r="N73" s="186"/>
      <c r="O73" s="30"/>
      <c r="P73" s="43">
        <f t="shared" si="135"/>
        <v>0</v>
      </c>
      <c r="Q73" s="30">
        <f>O73</f>
        <v>0</v>
      </c>
      <c r="R73" s="25">
        <f t="shared" si="136"/>
        <v>0</v>
      </c>
      <c r="S73" s="30">
        <f t="shared" si="137"/>
        <v>3</v>
      </c>
      <c r="T73" s="36">
        <f t="shared" si="138"/>
        <v>4133.58</v>
      </c>
      <c r="U73" s="30"/>
      <c r="V73" s="43">
        <f t="shared" si="139"/>
        <v>0</v>
      </c>
      <c r="W73" s="30">
        <f t="shared" si="140"/>
        <v>0</v>
      </c>
      <c r="X73" s="47">
        <f t="shared" si="141"/>
        <v>0</v>
      </c>
      <c r="Y73" s="30">
        <f t="shared" si="142"/>
        <v>3</v>
      </c>
      <c r="Z73" s="36">
        <f t="shared" si="143"/>
        <v>4133.58</v>
      </c>
      <c r="AA73" s="52"/>
      <c r="AB73" s="43">
        <f t="shared" si="144"/>
        <v>0</v>
      </c>
      <c r="AC73" s="30"/>
      <c r="AD73" s="43"/>
      <c r="AE73" s="30">
        <f t="shared" si="145"/>
        <v>0</v>
      </c>
      <c r="AF73" s="47">
        <f t="shared" si="146"/>
        <v>0</v>
      </c>
      <c r="AG73" s="30">
        <f t="shared" si="147"/>
        <v>3</v>
      </c>
      <c r="AH73" s="36">
        <f t="shared" si="148"/>
        <v>4133.58</v>
      </c>
      <c r="AI73" s="52"/>
      <c r="AJ73" s="43">
        <f t="shared" si="149"/>
        <v>0</v>
      </c>
      <c r="AK73" s="30"/>
      <c r="AL73" s="43"/>
      <c r="AM73" s="30">
        <f t="shared" si="150"/>
        <v>0</v>
      </c>
      <c r="AN73" s="47">
        <f t="shared" si="151"/>
        <v>0</v>
      </c>
      <c r="AO73" s="30">
        <f t="shared" si="152"/>
        <v>3</v>
      </c>
      <c r="AP73" s="36">
        <f t="shared" si="153"/>
        <v>4133.58</v>
      </c>
    </row>
    <row r="74" spans="1:42" ht="39" customHeight="1" x14ac:dyDescent="0.25">
      <c r="A74" s="92" t="s">
        <v>671</v>
      </c>
      <c r="B74" s="12" t="s">
        <v>139</v>
      </c>
      <c r="C74" s="11" t="s">
        <v>109</v>
      </c>
      <c r="D74" s="11" t="s">
        <v>140</v>
      </c>
      <c r="E74" s="13" t="s">
        <v>31</v>
      </c>
      <c r="F74" s="12">
        <v>2</v>
      </c>
      <c r="G74" s="14">
        <v>1386.68</v>
      </c>
      <c r="H74" s="14">
        <v>1698.26</v>
      </c>
      <c r="I74" s="14">
        <v>3396.52</v>
      </c>
      <c r="J74" s="28">
        <v>2.4243540328336903E-3</v>
      </c>
      <c r="K74" s="186"/>
      <c r="L74" s="186"/>
      <c r="M74" s="186"/>
      <c r="N74" s="186"/>
      <c r="O74" s="30"/>
      <c r="P74" s="43">
        <f t="shared" si="135"/>
        <v>0</v>
      </c>
      <c r="Q74" s="30">
        <f>O74</f>
        <v>0</v>
      </c>
      <c r="R74" s="25">
        <f t="shared" si="136"/>
        <v>0</v>
      </c>
      <c r="S74" s="30">
        <f t="shared" si="137"/>
        <v>2</v>
      </c>
      <c r="T74" s="36">
        <f t="shared" si="138"/>
        <v>3396.52</v>
      </c>
      <c r="U74" s="30"/>
      <c r="V74" s="43">
        <f t="shared" si="139"/>
        <v>0</v>
      </c>
      <c r="W74" s="30">
        <f t="shared" si="140"/>
        <v>0</v>
      </c>
      <c r="X74" s="47">
        <f t="shared" si="141"/>
        <v>0</v>
      </c>
      <c r="Y74" s="30">
        <f t="shared" si="142"/>
        <v>2</v>
      </c>
      <c r="Z74" s="36">
        <f t="shared" si="143"/>
        <v>3396.52</v>
      </c>
      <c r="AA74" s="52"/>
      <c r="AB74" s="43">
        <f t="shared" si="144"/>
        <v>0</v>
      </c>
      <c r="AC74" s="30"/>
      <c r="AD74" s="43"/>
      <c r="AE74" s="30">
        <f t="shared" si="145"/>
        <v>0</v>
      </c>
      <c r="AF74" s="47">
        <f t="shared" si="146"/>
        <v>0</v>
      </c>
      <c r="AG74" s="30">
        <f t="shared" si="147"/>
        <v>2</v>
      </c>
      <c r="AH74" s="36">
        <f t="shared" si="148"/>
        <v>3396.52</v>
      </c>
      <c r="AI74" s="52"/>
      <c r="AJ74" s="43">
        <f t="shared" si="149"/>
        <v>0</v>
      </c>
      <c r="AK74" s="30"/>
      <c r="AL74" s="43"/>
      <c r="AM74" s="30">
        <f t="shared" si="150"/>
        <v>0</v>
      </c>
      <c r="AN74" s="47">
        <f t="shared" si="151"/>
        <v>0</v>
      </c>
      <c r="AO74" s="30">
        <f t="shared" si="152"/>
        <v>2</v>
      </c>
      <c r="AP74" s="36">
        <f t="shared" si="153"/>
        <v>3396.52</v>
      </c>
    </row>
    <row r="75" spans="1:42" ht="14.25" customHeight="1" x14ac:dyDescent="0.25">
      <c r="A75" s="91" t="s">
        <v>141</v>
      </c>
      <c r="B75" s="8"/>
      <c r="C75" s="8"/>
      <c r="D75" s="8" t="s">
        <v>142</v>
      </c>
      <c r="E75" s="8"/>
      <c r="F75" s="9"/>
      <c r="G75" s="8"/>
      <c r="H75" s="8"/>
      <c r="I75" s="10">
        <v>996.45</v>
      </c>
      <c r="J75" s="27">
        <v>7.1124197002141328E-4</v>
      </c>
      <c r="K75" s="185"/>
      <c r="L75" s="185"/>
      <c r="M75" s="185"/>
      <c r="N75" s="185"/>
      <c r="O75" s="32"/>
      <c r="P75" s="44"/>
      <c r="Q75" s="22"/>
      <c r="R75" s="22"/>
      <c r="S75" s="32"/>
      <c r="T75" s="37">
        <f>SUM(T76:T78)</f>
        <v>996.4559999999999</v>
      </c>
      <c r="U75" s="32"/>
      <c r="V75" s="44"/>
      <c r="W75" s="32"/>
      <c r="X75" s="48"/>
      <c r="Y75" s="32"/>
      <c r="Z75" s="37">
        <f>SUM(Z76:Z78)</f>
        <v>996.4559999999999</v>
      </c>
      <c r="AA75" s="53"/>
      <c r="AB75" s="44"/>
      <c r="AC75" s="32"/>
      <c r="AD75" s="44"/>
      <c r="AE75" s="32"/>
      <c r="AF75" s="48"/>
      <c r="AG75" s="32"/>
      <c r="AH75" s="37">
        <f>SUM(AH76:AH78)</f>
        <v>996.4559999999999</v>
      </c>
      <c r="AI75" s="53"/>
      <c r="AJ75" s="44"/>
      <c r="AK75" s="32"/>
      <c r="AL75" s="44"/>
      <c r="AM75" s="32"/>
      <c r="AN75" s="48"/>
      <c r="AO75" s="32"/>
      <c r="AP75" s="37">
        <f>SUM(AP76:AP78)</f>
        <v>996.4559999999999</v>
      </c>
    </row>
    <row r="76" spans="1:42" ht="25.5" customHeight="1" x14ac:dyDescent="0.25">
      <c r="A76" s="92" t="s">
        <v>672</v>
      </c>
      <c r="B76" s="12" t="s">
        <v>143</v>
      </c>
      <c r="C76" s="11" t="s">
        <v>26</v>
      </c>
      <c r="D76" s="11" t="s">
        <v>144</v>
      </c>
      <c r="E76" s="13" t="s">
        <v>31</v>
      </c>
      <c r="F76" s="12">
        <v>2</v>
      </c>
      <c r="G76" s="14">
        <v>227.31</v>
      </c>
      <c r="H76" s="14">
        <v>278.38</v>
      </c>
      <c r="I76" s="14">
        <v>556.76</v>
      </c>
      <c r="J76" s="28">
        <v>3.9740185581727336E-4</v>
      </c>
      <c r="K76" s="186"/>
      <c r="L76" s="186"/>
      <c r="M76" s="186"/>
      <c r="N76" s="186"/>
      <c r="O76" s="30"/>
      <c r="P76" s="43">
        <f t="shared" ref="P76:P78" si="155">O76*H76</f>
        <v>0</v>
      </c>
      <c r="Q76" s="30">
        <f>O76</f>
        <v>0</v>
      </c>
      <c r="R76" s="25">
        <f>Q76/F76</f>
        <v>0</v>
      </c>
      <c r="S76" s="30">
        <f>F76-Q76</f>
        <v>2</v>
      </c>
      <c r="T76" s="36">
        <f>S76*H76</f>
        <v>556.76</v>
      </c>
      <c r="U76" s="30"/>
      <c r="V76" s="43">
        <f>U76*H76</f>
        <v>0</v>
      </c>
      <c r="W76" s="30">
        <f t="shared" ref="W76:W78" si="156">Q76+U76</f>
        <v>0</v>
      </c>
      <c r="X76" s="47">
        <f t="shared" ref="X76:X78" si="157">W76/$F$8</f>
        <v>0</v>
      </c>
      <c r="Y76" s="30">
        <f t="shared" ref="Y76:Y78" si="158">F76-W76</f>
        <v>2</v>
      </c>
      <c r="Z76" s="36">
        <f>Y76*H76</f>
        <v>556.76</v>
      </c>
      <c r="AA76" s="52"/>
      <c r="AB76" s="43">
        <f>AA76*H76</f>
        <v>0</v>
      </c>
      <c r="AC76" s="30"/>
      <c r="AD76" s="43"/>
      <c r="AE76" s="30">
        <f t="shared" ref="AE76:AE78" si="159">W76+AC76</f>
        <v>0</v>
      </c>
      <c r="AF76" s="47">
        <f t="shared" ref="AF76:AF78" si="160">AE76/$F$8</f>
        <v>0</v>
      </c>
      <c r="AG76" s="30">
        <f t="shared" ref="AG76:AG78" si="161">F76-AE76</f>
        <v>2</v>
      </c>
      <c r="AH76" s="36">
        <f>AG76*H76</f>
        <v>556.76</v>
      </c>
      <c r="AI76" s="52"/>
      <c r="AJ76" s="43">
        <f t="shared" ref="AJ76:AJ78" si="162">AI76*T76</f>
        <v>0</v>
      </c>
      <c r="AK76" s="30"/>
      <c r="AL76" s="43"/>
      <c r="AM76" s="30">
        <f t="shared" ref="AM76:AM78" si="163">AE76+AK76</f>
        <v>0</v>
      </c>
      <c r="AN76" s="47">
        <f t="shared" ref="AN76:AN78" si="164">AM76/$F$8</f>
        <v>0</v>
      </c>
      <c r="AO76" s="30">
        <f t="shared" ref="AO76:AO78" si="165">F76-AM76</f>
        <v>2</v>
      </c>
      <c r="AP76" s="36">
        <f>AO76*H76</f>
        <v>556.76</v>
      </c>
    </row>
    <row r="77" spans="1:42" ht="14.25" customHeight="1" x14ac:dyDescent="0.25">
      <c r="A77" s="92" t="s">
        <v>673</v>
      </c>
      <c r="B77" s="12" t="s">
        <v>145</v>
      </c>
      <c r="C77" s="11" t="s">
        <v>109</v>
      </c>
      <c r="D77" s="11" t="s">
        <v>146</v>
      </c>
      <c r="E77" s="13" t="s">
        <v>31</v>
      </c>
      <c r="F77" s="12">
        <v>5</v>
      </c>
      <c r="G77" s="14">
        <v>39.26</v>
      </c>
      <c r="H77" s="14">
        <v>48.08</v>
      </c>
      <c r="I77" s="14">
        <v>240.4</v>
      </c>
      <c r="J77" s="28">
        <v>1.7159172019985723E-4</v>
      </c>
      <c r="K77" s="186"/>
      <c r="L77" s="186"/>
      <c r="M77" s="186"/>
      <c r="N77" s="186"/>
      <c r="O77" s="30"/>
      <c r="P77" s="43">
        <f t="shared" si="155"/>
        <v>0</v>
      </c>
      <c r="Q77" s="30">
        <f>O77</f>
        <v>0</v>
      </c>
      <c r="R77" s="25">
        <f>Q77/F77</f>
        <v>0</v>
      </c>
      <c r="S77" s="30">
        <f>F77-Q77</f>
        <v>5</v>
      </c>
      <c r="T77" s="36">
        <f>S77*H77</f>
        <v>240.39999999999998</v>
      </c>
      <c r="U77" s="30"/>
      <c r="V77" s="43">
        <f>U77*H77</f>
        <v>0</v>
      </c>
      <c r="W77" s="30">
        <f t="shared" si="156"/>
        <v>0</v>
      </c>
      <c r="X77" s="47">
        <f t="shared" si="157"/>
        <v>0</v>
      </c>
      <c r="Y77" s="30">
        <f t="shared" si="158"/>
        <v>5</v>
      </c>
      <c r="Z77" s="36">
        <f>Y77*H77</f>
        <v>240.39999999999998</v>
      </c>
      <c r="AA77" s="52"/>
      <c r="AB77" s="43">
        <f>AA77*H77</f>
        <v>0</v>
      </c>
      <c r="AC77" s="30"/>
      <c r="AD77" s="43"/>
      <c r="AE77" s="30">
        <f t="shared" si="159"/>
        <v>0</v>
      </c>
      <c r="AF77" s="47">
        <f t="shared" si="160"/>
        <v>0</v>
      </c>
      <c r="AG77" s="30">
        <f t="shared" si="161"/>
        <v>5</v>
      </c>
      <c r="AH77" s="36">
        <f>AG77*H77</f>
        <v>240.39999999999998</v>
      </c>
      <c r="AI77" s="52"/>
      <c r="AJ77" s="43">
        <f t="shared" si="162"/>
        <v>0</v>
      </c>
      <c r="AK77" s="30"/>
      <c r="AL77" s="43"/>
      <c r="AM77" s="30">
        <f t="shared" si="163"/>
        <v>0</v>
      </c>
      <c r="AN77" s="47">
        <f t="shared" si="164"/>
        <v>0</v>
      </c>
      <c r="AO77" s="30">
        <f t="shared" si="165"/>
        <v>5</v>
      </c>
      <c r="AP77" s="36">
        <f>AO77*H77</f>
        <v>240.39999999999998</v>
      </c>
    </row>
    <row r="78" spans="1:42" ht="25.5" customHeight="1" x14ac:dyDescent="0.25">
      <c r="A78" s="92" t="s">
        <v>674</v>
      </c>
      <c r="B78" s="12" t="s">
        <v>147</v>
      </c>
      <c r="C78" s="11" t="s">
        <v>109</v>
      </c>
      <c r="D78" s="11" t="s">
        <v>148</v>
      </c>
      <c r="E78" s="13" t="s">
        <v>111</v>
      </c>
      <c r="F78" s="12">
        <v>2.88</v>
      </c>
      <c r="G78" s="14">
        <v>56.51</v>
      </c>
      <c r="H78" s="14">
        <v>69.2</v>
      </c>
      <c r="I78" s="14">
        <v>199.29</v>
      </c>
      <c r="J78" s="28">
        <v>1.4224839400428266E-4</v>
      </c>
      <c r="K78" s="186"/>
      <c r="L78" s="186"/>
      <c r="M78" s="186"/>
      <c r="N78" s="186"/>
      <c r="O78" s="30"/>
      <c r="P78" s="43">
        <f t="shared" si="155"/>
        <v>0</v>
      </c>
      <c r="Q78" s="30">
        <f t="shared" ref="Q78" si="166">O78</f>
        <v>0</v>
      </c>
      <c r="R78" s="25">
        <f>Q78/F78</f>
        <v>0</v>
      </c>
      <c r="S78" s="30">
        <f>F78-Q78</f>
        <v>2.88</v>
      </c>
      <c r="T78" s="36">
        <f>S78*H78</f>
        <v>199.29599999999999</v>
      </c>
      <c r="U78" s="30"/>
      <c r="V78" s="43">
        <f>U78*H78</f>
        <v>0</v>
      </c>
      <c r="W78" s="30">
        <f t="shared" si="156"/>
        <v>0</v>
      </c>
      <c r="X78" s="47">
        <f t="shared" si="157"/>
        <v>0</v>
      </c>
      <c r="Y78" s="30">
        <f t="shared" si="158"/>
        <v>2.88</v>
      </c>
      <c r="Z78" s="36">
        <f>Y78*H78</f>
        <v>199.29599999999999</v>
      </c>
      <c r="AA78" s="52"/>
      <c r="AB78" s="43">
        <f>AA78*H78</f>
        <v>0</v>
      </c>
      <c r="AC78" s="30"/>
      <c r="AD78" s="43"/>
      <c r="AE78" s="30">
        <f t="shared" si="159"/>
        <v>0</v>
      </c>
      <c r="AF78" s="47">
        <f t="shared" si="160"/>
        <v>0</v>
      </c>
      <c r="AG78" s="30">
        <f t="shared" si="161"/>
        <v>2.88</v>
      </c>
      <c r="AH78" s="36">
        <f>AG78*H78</f>
        <v>199.29599999999999</v>
      </c>
      <c r="AI78" s="52"/>
      <c r="AJ78" s="43">
        <f t="shared" si="162"/>
        <v>0</v>
      </c>
      <c r="AK78" s="30"/>
      <c r="AL78" s="43"/>
      <c r="AM78" s="30">
        <f t="shared" si="163"/>
        <v>0</v>
      </c>
      <c r="AN78" s="47">
        <f t="shared" si="164"/>
        <v>0</v>
      </c>
      <c r="AO78" s="30">
        <f t="shared" si="165"/>
        <v>2.88</v>
      </c>
      <c r="AP78" s="36">
        <f>AO78*H78</f>
        <v>199.29599999999999</v>
      </c>
    </row>
    <row r="79" spans="1:42" ht="14.25" customHeight="1" x14ac:dyDescent="0.25">
      <c r="A79" s="91" t="s">
        <v>149</v>
      </c>
      <c r="B79" s="8"/>
      <c r="C79" s="8"/>
      <c r="D79" s="8" t="s">
        <v>150</v>
      </c>
      <c r="E79" s="8"/>
      <c r="F79" s="9"/>
      <c r="G79" s="8"/>
      <c r="H79" s="8"/>
      <c r="I79" s="10">
        <v>461.96</v>
      </c>
      <c r="J79" s="27">
        <v>3.2973590292648109E-4</v>
      </c>
      <c r="K79" s="185"/>
      <c r="L79" s="185"/>
      <c r="M79" s="185"/>
      <c r="N79" s="185"/>
      <c r="O79" s="32"/>
      <c r="P79" s="44"/>
      <c r="Q79" s="22"/>
      <c r="R79" s="22"/>
      <c r="S79" s="32"/>
      <c r="T79" s="37">
        <f>T80</f>
        <v>461.96640000000002</v>
      </c>
      <c r="U79" s="32"/>
      <c r="V79" s="44"/>
      <c r="W79" s="32"/>
      <c r="X79" s="48"/>
      <c r="Y79" s="32"/>
      <c r="Z79" s="37">
        <f>Z80</f>
        <v>461.96640000000002</v>
      </c>
      <c r="AA79" s="53"/>
      <c r="AB79" s="44"/>
      <c r="AC79" s="32"/>
      <c r="AD79" s="44"/>
      <c r="AE79" s="32"/>
      <c r="AF79" s="48"/>
      <c r="AG79" s="32"/>
      <c r="AH79" s="37">
        <f>AH80</f>
        <v>461.96640000000002</v>
      </c>
      <c r="AI79" s="53"/>
      <c r="AJ79" s="44"/>
      <c r="AK79" s="32"/>
      <c r="AL79" s="44"/>
      <c r="AM79" s="32"/>
      <c r="AN79" s="48"/>
      <c r="AO79" s="32"/>
      <c r="AP79" s="37">
        <f>AP80</f>
        <v>461.96640000000002</v>
      </c>
    </row>
    <row r="80" spans="1:42" ht="14.25" customHeight="1" x14ac:dyDescent="0.25">
      <c r="A80" s="92" t="s">
        <v>675</v>
      </c>
      <c r="B80" s="12" t="s">
        <v>151</v>
      </c>
      <c r="C80" s="11" t="s">
        <v>22</v>
      </c>
      <c r="D80" s="11" t="s">
        <v>152</v>
      </c>
      <c r="E80" s="13" t="s">
        <v>24</v>
      </c>
      <c r="F80" s="12">
        <v>1.68</v>
      </c>
      <c r="G80" s="14">
        <v>224.53</v>
      </c>
      <c r="H80" s="14">
        <v>274.98</v>
      </c>
      <c r="I80" s="14">
        <v>461.96</v>
      </c>
      <c r="J80" s="28">
        <v>3.2973590292648109E-4</v>
      </c>
      <c r="K80" s="186"/>
      <c r="L80" s="186"/>
      <c r="M80" s="186"/>
      <c r="N80" s="186"/>
      <c r="O80" s="30"/>
      <c r="P80" s="43">
        <f>O80*H80</f>
        <v>0</v>
      </c>
      <c r="Q80" s="30">
        <f>O80</f>
        <v>0</v>
      </c>
      <c r="R80" s="25">
        <f>Q80/F80</f>
        <v>0</v>
      </c>
      <c r="S80" s="30">
        <f>F80-Q80</f>
        <v>1.68</v>
      </c>
      <c r="T80" s="36">
        <f>S80*H80</f>
        <v>461.96640000000002</v>
      </c>
      <c r="U80" s="30"/>
      <c r="V80" s="43">
        <f>U80*H80</f>
        <v>0</v>
      </c>
      <c r="W80" s="30">
        <f>Q80+U80</f>
        <v>0</v>
      </c>
      <c r="X80" s="47">
        <f>W80/$F$8</f>
        <v>0</v>
      </c>
      <c r="Y80" s="30">
        <f t="shared" ref="Y80" si="167">F80-W80</f>
        <v>1.68</v>
      </c>
      <c r="Z80" s="36">
        <f>Y80*H80</f>
        <v>461.96640000000002</v>
      </c>
      <c r="AA80" s="52"/>
      <c r="AB80" s="43">
        <f>AA80*H80</f>
        <v>0</v>
      </c>
      <c r="AC80" s="30"/>
      <c r="AD80" s="43"/>
      <c r="AE80" s="30">
        <f>W80+AC80</f>
        <v>0</v>
      </c>
      <c r="AF80" s="47">
        <f>AE80/$F$8</f>
        <v>0</v>
      </c>
      <c r="AG80" s="30">
        <f t="shared" ref="AG80" si="168">F80-AE80</f>
        <v>1.68</v>
      </c>
      <c r="AH80" s="36">
        <f>AG80*H80</f>
        <v>461.96640000000002</v>
      </c>
      <c r="AI80" s="52"/>
      <c r="AJ80" s="43">
        <f t="shared" ref="AJ80" si="169">AI80*T80</f>
        <v>0</v>
      </c>
      <c r="AK80" s="30"/>
      <c r="AL80" s="43"/>
      <c r="AM80" s="30">
        <f t="shared" ref="AM80" si="170">AE80+AK80</f>
        <v>0</v>
      </c>
      <c r="AN80" s="47">
        <f t="shared" ref="AN80" si="171">AM80/$F$8</f>
        <v>0</v>
      </c>
      <c r="AO80" s="30">
        <f t="shared" ref="AO80" si="172">F80-AM80</f>
        <v>1.68</v>
      </c>
      <c r="AP80" s="36">
        <f>AO80*H80</f>
        <v>461.96640000000002</v>
      </c>
    </row>
    <row r="81" spans="1:42" ht="14.25" customHeight="1" x14ac:dyDescent="0.25">
      <c r="A81" s="91" t="s">
        <v>153</v>
      </c>
      <c r="B81" s="8"/>
      <c r="C81" s="8"/>
      <c r="D81" s="8" t="s">
        <v>154</v>
      </c>
      <c r="E81" s="8"/>
      <c r="F81" s="9"/>
      <c r="G81" s="8"/>
      <c r="H81" s="8"/>
      <c r="I81" s="10">
        <v>120131.96</v>
      </c>
      <c r="J81" s="27">
        <v>8.5747294789436115E-2</v>
      </c>
      <c r="K81" s="185"/>
      <c r="L81" s="185"/>
      <c r="M81" s="185"/>
      <c r="N81" s="185"/>
      <c r="O81" s="32"/>
      <c r="P81" s="44"/>
      <c r="Q81" s="22"/>
      <c r="R81" s="22"/>
      <c r="S81" s="32"/>
      <c r="T81" s="37">
        <f>SUM(T82:T92)</f>
        <v>120132.00600000002</v>
      </c>
      <c r="U81" s="32"/>
      <c r="V81" s="44"/>
      <c r="W81" s="32"/>
      <c r="X81" s="48"/>
      <c r="Y81" s="32"/>
      <c r="Z81" s="37">
        <f>SUM(Z82:Z92)</f>
        <v>120132.00600000002</v>
      </c>
      <c r="AA81" s="53"/>
      <c r="AB81" s="44"/>
      <c r="AC81" s="32"/>
      <c r="AD81" s="44"/>
      <c r="AE81" s="32"/>
      <c r="AF81" s="48"/>
      <c r="AG81" s="32"/>
      <c r="AH81" s="37">
        <f>SUM(AH82:AH92)</f>
        <v>120132.00600000002</v>
      </c>
      <c r="AI81" s="53"/>
      <c r="AJ81" s="44"/>
      <c r="AK81" s="32"/>
      <c r="AL81" s="44"/>
      <c r="AM81" s="32"/>
      <c r="AN81" s="48"/>
      <c r="AO81" s="32"/>
      <c r="AP81" s="37">
        <f>SUM(AP82:AP92)</f>
        <v>120132.00600000002</v>
      </c>
    </row>
    <row r="82" spans="1:42" ht="39" customHeight="1" x14ac:dyDescent="0.25">
      <c r="A82" s="92" t="s">
        <v>676</v>
      </c>
      <c r="B82" s="12" t="s">
        <v>155</v>
      </c>
      <c r="C82" s="11" t="s">
        <v>26</v>
      </c>
      <c r="D82" s="11" t="s">
        <v>156</v>
      </c>
      <c r="E82" s="13" t="s">
        <v>24</v>
      </c>
      <c r="F82" s="12">
        <v>0.24</v>
      </c>
      <c r="G82" s="14">
        <v>1057.71</v>
      </c>
      <c r="H82" s="14">
        <v>1295.3699999999999</v>
      </c>
      <c r="I82" s="14">
        <v>310.88</v>
      </c>
      <c r="J82" s="28">
        <v>2.2189864382583869E-4</v>
      </c>
      <c r="K82" s="186"/>
      <c r="L82" s="186"/>
      <c r="M82" s="186"/>
      <c r="N82" s="186"/>
      <c r="O82" s="30"/>
      <c r="P82" s="43">
        <f t="shared" ref="P82:P92" si="173">O82*H82</f>
        <v>0</v>
      </c>
      <c r="Q82" s="30">
        <f>O82</f>
        <v>0</v>
      </c>
      <c r="R82" s="25">
        <f t="shared" ref="R82:R92" si="174">Q82/F82</f>
        <v>0</v>
      </c>
      <c r="S82" s="30">
        <f t="shared" ref="S82:S92" si="175">F82-Q82</f>
        <v>0.24</v>
      </c>
      <c r="T82" s="36">
        <f t="shared" ref="T82:T92" si="176">S82*H82</f>
        <v>310.88879999999995</v>
      </c>
      <c r="U82" s="30"/>
      <c r="V82" s="43">
        <f t="shared" ref="V82:V92" si="177">U82*H82</f>
        <v>0</v>
      </c>
      <c r="W82" s="30">
        <f t="shared" ref="W82:W92" si="178">Q82+U82</f>
        <v>0</v>
      </c>
      <c r="X82" s="47">
        <f t="shared" ref="X82:X92" si="179">W82/$F$8</f>
        <v>0</v>
      </c>
      <c r="Y82" s="30">
        <f t="shared" ref="Y82:Y92" si="180">F82-W82</f>
        <v>0.24</v>
      </c>
      <c r="Z82" s="36">
        <f t="shared" ref="Z82:Z92" si="181">Y82*H82</f>
        <v>310.88879999999995</v>
      </c>
      <c r="AA82" s="52"/>
      <c r="AB82" s="43">
        <f t="shared" ref="AB82:AB92" si="182">AA82*H82</f>
        <v>0</v>
      </c>
      <c r="AC82" s="30"/>
      <c r="AD82" s="43"/>
      <c r="AE82" s="30">
        <f t="shared" ref="AE82:AE92" si="183">W82+AC82</f>
        <v>0</v>
      </c>
      <c r="AF82" s="47">
        <f t="shared" ref="AF82:AF92" si="184">AE82/$F$8</f>
        <v>0</v>
      </c>
      <c r="AG82" s="30">
        <f t="shared" ref="AG82:AG92" si="185">F82-AE82</f>
        <v>0.24</v>
      </c>
      <c r="AH82" s="36">
        <f t="shared" ref="AH82:AH92" si="186">AG82*H82</f>
        <v>310.88879999999995</v>
      </c>
      <c r="AI82" s="52"/>
      <c r="AJ82" s="43">
        <f t="shared" ref="AJ82:AJ92" si="187">AI82*T82</f>
        <v>0</v>
      </c>
      <c r="AK82" s="30"/>
      <c r="AL82" s="43"/>
      <c r="AM82" s="30">
        <f t="shared" ref="AM82:AM92" si="188">AE82+AK82</f>
        <v>0</v>
      </c>
      <c r="AN82" s="47">
        <f t="shared" ref="AN82:AN92" si="189">AM82/$F$8</f>
        <v>0</v>
      </c>
      <c r="AO82" s="30">
        <f t="shared" ref="AO82:AO92" si="190">F82-AM82</f>
        <v>0.24</v>
      </c>
      <c r="AP82" s="36">
        <f t="shared" ref="AP82:AP92" si="191">AO82*H82</f>
        <v>310.88879999999995</v>
      </c>
    </row>
    <row r="83" spans="1:42" ht="39" customHeight="1" x14ac:dyDescent="0.25">
      <c r="A83" s="92" t="s">
        <v>677</v>
      </c>
      <c r="B83" s="12" t="s">
        <v>155</v>
      </c>
      <c r="C83" s="11" t="s">
        <v>26</v>
      </c>
      <c r="D83" s="11" t="s">
        <v>156</v>
      </c>
      <c r="E83" s="13" t="s">
        <v>24</v>
      </c>
      <c r="F83" s="12">
        <v>1.08</v>
      </c>
      <c r="G83" s="14">
        <v>1057.71</v>
      </c>
      <c r="H83" s="14">
        <v>1295.3699999999999</v>
      </c>
      <c r="I83" s="14">
        <v>1398.99</v>
      </c>
      <c r="J83" s="28">
        <v>9.9856531049250527E-4</v>
      </c>
      <c r="K83" s="186"/>
      <c r="L83" s="186"/>
      <c r="M83" s="186"/>
      <c r="N83" s="186"/>
      <c r="O83" s="30"/>
      <c r="P83" s="43">
        <f t="shared" si="173"/>
        <v>0</v>
      </c>
      <c r="Q83" s="30">
        <f>O83</f>
        <v>0</v>
      </c>
      <c r="R83" s="25">
        <f t="shared" si="174"/>
        <v>0</v>
      </c>
      <c r="S83" s="30">
        <f t="shared" si="175"/>
        <v>1.08</v>
      </c>
      <c r="T83" s="36">
        <f t="shared" si="176"/>
        <v>1398.9995999999999</v>
      </c>
      <c r="U83" s="30"/>
      <c r="V83" s="43">
        <f t="shared" si="177"/>
        <v>0</v>
      </c>
      <c r="W83" s="30">
        <f t="shared" si="178"/>
        <v>0</v>
      </c>
      <c r="X83" s="47">
        <f t="shared" si="179"/>
        <v>0</v>
      </c>
      <c r="Y83" s="30">
        <f t="shared" si="180"/>
        <v>1.08</v>
      </c>
      <c r="Z83" s="36">
        <f t="shared" si="181"/>
        <v>1398.9995999999999</v>
      </c>
      <c r="AA83" s="52"/>
      <c r="AB83" s="43">
        <f t="shared" si="182"/>
        <v>0</v>
      </c>
      <c r="AC83" s="30"/>
      <c r="AD83" s="43"/>
      <c r="AE83" s="30">
        <f t="shared" si="183"/>
        <v>0</v>
      </c>
      <c r="AF83" s="47">
        <f t="shared" si="184"/>
        <v>0</v>
      </c>
      <c r="AG83" s="30">
        <f t="shared" si="185"/>
        <v>1.08</v>
      </c>
      <c r="AH83" s="36">
        <f t="shared" si="186"/>
        <v>1398.9995999999999</v>
      </c>
      <c r="AI83" s="52"/>
      <c r="AJ83" s="43">
        <f t="shared" si="187"/>
        <v>0</v>
      </c>
      <c r="AK83" s="30"/>
      <c r="AL83" s="43"/>
      <c r="AM83" s="30">
        <f t="shared" si="188"/>
        <v>0</v>
      </c>
      <c r="AN83" s="47">
        <f t="shared" si="189"/>
        <v>0</v>
      </c>
      <c r="AO83" s="30">
        <f t="shared" si="190"/>
        <v>1.08</v>
      </c>
      <c r="AP83" s="36">
        <f t="shared" si="191"/>
        <v>1398.9995999999999</v>
      </c>
    </row>
    <row r="84" spans="1:42" ht="39" customHeight="1" x14ac:dyDescent="0.25">
      <c r="A84" s="92" t="s">
        <v>678</v>
      </c>
      <c r="B84" s="12" t="s">
        <v>155</v>
      </c>
      <c r="C84" s="11" t="s">
        <v>26</v>
      </c>
      <c r="D84" s="11" t="s">
        <v>156</v>
      </c>
      <c r="E84" s="13" t="s">
        <v>24</v>
      </c>
      <c r="F84" s="12">
        <v>3.2</v>
      </c>
      <c r="G84" s="14">
        <v>1057.71</v>
      </c>
      <c r="H84" s="14">
        <v>1295.3699999999999</v>
      </c>
      <c r="I84" s="14">
        <v>4145.18</v>
      </c>
      <c r="J84" s="28">
        <v>2.9587294789436116E-3</v>
      </c>
      <c r="K84" s="186"/>
      <c r="L84" s="186"/>
      <c r="M84" s="186"/>
      <c r="N84" s="186"/>
      <c r="O84" s="30"/>
      <c r="P84" s="43">
        <f t="shared" si="173"/>
        <v>0</v>
      </c>
      <c r="Q84" s="30">
        <f t="shared" ref="Q84:Q86" si="192">O84</f>
        <v>0</v>
      </c>
      <c r="R84" s="25">
        <f t="shared" si="174"/>
        <v>0</v>
      </c>
      <c r="S84" s="30">
        <f t="shared" si="175"/>
        <v>3.2</v>
      </c>
      <c r="T84" s="36">
        <f t="shared" si="176"/>
        <v>4145.1840000000002</v>
      </c>
      <c r="U84" s="30"/>
      <c r="V84" s="43">
        <f t="shared" si="177"/>
        <v>0</v>
      </c>
      <c r="W84" s="30">
        <f t="shared" si="178"/>
        <v>0</v>
      </c>
      <c r="X84" s="47">
        <f t="shared" si="179"/>
        <v>0</v>
      </c>
      <c r="Y84" s="30">
        <f t="shared" si="180"/>
        <v>3.2</v>
      </c>
      <c r="Z84" s="36">
        <f t="shared" si="181"/>
        <v>4145.1840000000002</v>
      </c>
      <c r="AA84" s="52"/>
      <c r="AB84" s="43">
        <f t="shared" si="182"/>
        <v>0</v>
      </c>
      <c r="AC84" s="30"/>
      <c r="AD84" s="43"/>
      <c r="AE84" s="30">
        <f t="shared" si="183"/>
        <v>0</v>
      </c>
      <c r="AF84" s="47">
        <f t="shared" si="184"/>
        <v>0</v>
      </c>
      <c r="AG84" s="30">
        <f t="shared" si="185"/>
        <v>3.2</v>
      </c>
      <c r="AH84" s="36">
        <f t="shared" si="186"/>
        <v>4145.1840000000002</v>
      </c>
      <c r="AI84" s="52"/>
      <c r="AJ84" s="43">
        <f t="shared" si="187"/>
        <v>0</v>
      </c>
      <c r="AK84" s="30"/>
      <c r="AL84" s="43"/>
      <c r="AM84" s="30">
        <f t="shared" si="188"/>
        <v>0</v>
      </c>
      <c r="AN84" s="47">
        <f t="shared" si="189"/>
        <v>0</v>
      </c>
      <c r="AO84" s="30">
        <f t="shared" si="190"/>
        <v>3.2</v>
      </c>
      <c r="AP84" s="36">
        <f t="shared" si="191"/>
        <v>4145.1840000000002</v>
      </c>
    </row>
    <row r="85" spans="1:42" ht="51.75" customHeight="1" x14ac:dyDescent="0.25">
      <c r="A85" s="92" t="s">
        <v>679</v>
      </c>
      <c r="B85" s="12" t="s">
        <v>157</v>
      </c>
      <c r="C85" s="11" t="s">
        <v>26</v>
      </c>
      <c r="D85" s="11" t="s">
        <v>158</v>
      </c>
      <c r="E85" s="13" t="s">
        <v>24</v>
      </c>
      <c r="F85" s="12">
        <v>0.6</v>
      </c>
      <c r="G85" s="14">
        <v>562.35</v>
      </c>
      <c r="H85" s="14">
        <v>688.71</v>
      </c>
      <c r="I85" s="14">
        <v>413.22</v>
      </c>
      <c r="J85" s="28">
        <v>2.9494646680942182E-4</v>
      </c>
      <c r="K85" s="186"/>
      <c r="L85" s="186"/>
      <c r="M85" s="186"/>
      <c r="N85" s="186"/>
      <c r="O85" s="30"/>
      <c r="P85" s="43">
        <f t="shared" si="173"/>
        <v>0</v>
      </c>
      <c r="Q85" s="30">
        <f t="shared" si="192"/>
        <v>0</v>
      </c>
      <c r="R85" s="25">
        <f t="shared" si="174"/>
        <v>0</v>
      </c>
      <c r="S85" s="30">
        <f t="shared" si="175"/>
        <v>0.6</v>
      </c>
      <c r="T85" s="36">
        <f t="shared" si="176"/>
        <v>413.226</v>
      </c>
      <c r="U85" s="30"/>
      <c r="V85" s="43">
        <f t="shared" si="177"/>
        <v>0</v>
      </c>
      <c r="W85" s="30">
        <f t="shared" si="178"/>
        <v>0</v>
      </c>
      <c r="X85" s="47">
        <f t="shared" si="179"/>
        <v>0</v>
      </c>
      <c r="Y85" s="30">
        <f t="shared" si="180"/>
        <v>0.6</v>
      </c>
      <c r="Z85" s="36">
        <f t="shared" si="181"/>
        <v>413.226</v>
      </c>
      <c r="AA85" s="52"/>
      <c r="AB85" s="43">
        <f t="shared" si="182"/>
        <v>0</v>
      </c>
      <c r="AC85" s="30"/>
      <c r="AD85" s="43"/>
      <c r="AE85" s="30">
        <f t="shared" si="183"/>
        <v>0</v>
      </c>
      <c r="AF85" s="47">
        <f t="shared" si="184"/>
        <v>0</v>
      </c>
      <c r="AG85" s="30">
        <f t="shared" si="185"/>
        <v>0.6</v>
      </c>
      <c r="AH85" s="36">
        <f t="shared" si="186"/>
        <v>413.226</v>
      </c>
      <c r="AI85" s="52"/>
      <c r="AJ85" s="43">
        <f t="shared" si="187"/>
        <v>0</v>
      </c>
      <c r="AK85" s="30"/>
      <c r="AL85" s="43"/>
      <c r="AM85" s="30">
        <f t="shared" si="188"/>
        <v>0</v>
      </c>
      <c r="AN85" s="47">
        <f t="shared" si="189"/>
        <v>0</v>
      </c>
      <c r="AO85" s="30">
        <f t="shared" si="190"/>
        <v>0.6</v>
      </c>
      <c r="AP85" s="36">
        <f t="shared" si="191"/>
        <v>413.226</v>
      </c>
    </row>
    <row r="86" spans="1:42" ht="51.75" customHeight="1" x14ac:dyDescent="0.25">
      <c r="A86" s="92" t="s">
        <v>680</v>
      </c>
      <c r="B86" s="12" t="s">
        <v>157</v>
      </c>
      <c r="C86" s="11" t="s">
        <v>26</v>
      </c>
      <c r="D86" s="11" t="s">
        <v>158</v>
      </c>
      <c r="E86" s="13" t="s">
        <v>24</v>
      </c>
      <c r="F86" s="12">
        <v>6</v>
      </c>
      <c r="G86" s="14">
        <v>562.35</v>
      </c>
      <c r="H86" s="14">
        <v>688.71</v>
      </c>
      <c r="I86" s="14">
        <v>4132.26</v>
      </c>
      <c r="J86" s="28">
        <v>2.9495074946466809E-3</v>
      </c>
      <c r="K86" s="186"/>
      <c r="L86" s="186"/>
      <c r="M86" s="186"/>
      <c r="N86" s="186"/>
      <c r="O86" s="30"/>
      <c r="P86" s="43">
        <f t="shared" si="173"/>
        <v>0</v>
      </c>
      <c r="Q86" s="30">
        <f t="shared" si="192"/>
        <v>0</v>
      </c>
      <c r="R86" s="25">
        <f t="shared" si="174"/>
        <v>0</v>
      </c>
      <c r="S86" s="30">
        <f t="shared" si="175"/>
        <v>6</v>
      </c>
      <c r="T86" s="36">
        <f t="shared" si="176"/>
        <v>4132.26</v>
      </c>
      <c r="U86" s="30"/>
      <c r="V86" s="43">
        <f t="shared" si="177"/>
        <v>0</v>
      </c>
      <c r="W86" s="30">
        <f t="shared" si="178"/>
        <v>0</v>
      </c>
      <c r="X86" s="47">
        <f t="shared" si="179"/>
        <v>0</v>
      </c>
      <c r="Y86" s="30">
        <f t="shared" si="180"/>
        <v>6</v>
      </c>
      <c r="Z86" s="36">
        <f t="shared" si="181"/>
        <v>4132.26</v>
      </c>
      <c r="AA86" s="52"/>
      <c r="AB86" s="43">
        <f t="shared" si="182"/>
        <v>0</v>
      </c>
      <c r="AC86" s="30"/>
      <c r="AD86" s="43"/>
      <c r="AE86" s="30">
        <f t="shared" si="183"/>
        <v>0</v>
      </c>
      <c r="AF86" s="47">
        <f t="shared" si="184"/>
        <v>0</v>
      </c>
      <c r="AG86" s="30">
        <f t="shared" si="185"/>
        <v>6</v>
      </c>
      <c r="AH86" s="36">
        <f t="shared" si="186"/>
        <v>4132.26</v>
      </c>
      <c r="AI86" s="52"/>
      <c r="AJ86" s="43">
        <f t="shared" si="187"/>
        <v>0</v>
      </c>
      <c r="AK86" s="30"/>
      <c r="AL86" s="43"/>
      <c r="AM86" s="30">
        <f t="shared" si="188"/>
        <v>0</v>
      </c>
      <c r="AN86" s="47">
        <f t="shared" si="189"/>
        <v>0</v>
      </c>
      <c r="AO86" s="30">
        <f t="shared" si="190"/>
        <v>6</v>
      </c>
      <c r="AP86" s="36">
        <f t="shared" si="191"/>
        <v>4132.26</v>
      </c>
    </row>
    <row r="87" spans="1:42" ht="39" customHeight="1" x14ac:dyDescent="0.25">
      <c r="A87" s="92" t="s">
        <v>681</v>
      </c>
      <c r="B87" s="12" t="s">
        <v>155</v>
      </c>
      <c r="C87" s="11" t="s">
        <v>26</v>
      </c>
      <c r="D87" s="11" t="s">
        <v>156</v>
      </c>
      <c r="E87" s="13" t="s">
        <v>24</v>
      </c>
      <c r="F87" s="12">
        <v>3.3</v>
      </c>
      <c r="G87" s="14">
        <v>1057.71</v>
      </c>
      <c r="H87" s="14">
        <v>1295.3699999999999</v>
      </c>
      <c r="I87" s="14">
        <v>4274.72</v>
      </c>
      <c r="J87" s="28">
        <v>3.0511920057102069E-3</v>
      </c>
      <c r="K87" s="186"/>
      <c r="L87" s="186"/>
      <c r="M87" s="186"/>
      <c r="N87" s="186"/>
      <c r="O87" s="30"/>
      <c r="P87" s="43">
        <f t="shared" si="173"/>
        <v>0</v>
      </c>
      <c r="Q87" s="30">
        <f>O87</f>
        <v>0</v>
      </c>
      <c r="R87" s="25">
        <f t="shared" si="174"/>
        <v>0</v>
      </c>
      <c r="S87" s="30">
        <f t="shared" si="175"/>
        <v>3.3</v>
      </c>
      <c r="T87" s="36">
        <f t="shared" si="176"/>
        <v>4274.7209999999995</v>
      </c>
      <c r="U87" s="30"/>
      <c r="V87" s="43">
        <f t="shared" si="177"/>
        <v>0</v>
      </c>
      <c r="W87" s="30">
        <f t="shared" si="178"/>
        <v>0</v>
      </c>
      <c r="X87" s="47">
        <f t="shared" si="179"/>
        <v>0</v>
      </c>
      <c r="Y87" s="30">
        <f t="shared" si="180"/>
        <v>3.3</v>
      </c>
      <c r="Z87" s="36">
        <f t="shared" si="181"/>
        <v>4274.7209999999995</v>
      </c>
      <c r="AA87" s="52"/>
      <c r="AB87" s="43">
        <f t="shared" si="182"/>
        <v>0</v>
      </c>
      <c r="AC87" s="30"/>
      <c r="AD87" s="43"/>
      <c r="AE87" s="30">
        <f t="shared" si="183"/>
        <v>0</v>
      </c>
      <c r="AF87" s="47">
        <f t="shared" si="184"/>
        <v>0</v>
      </c>
      <c r="AG87" s="30">
        <f t="shared" si="185"/>
        <v>3.3</v>
      </c>
      <c r="AH87" s="36">
        <f t="shared" si="186"/>
        <v>4274.7209999999995</v>
      </c>
      <c r="AI87" s="52"/>
      <c r="AJ87" s="43">
        <f t="shared" si="187"/>
        <v>0</v>
      </c>
      <c r="AK87" s="30"/>
      <c r="AL87" s="43"/>
      <c r="AM87" s="30">
        <f t="shared" si="188"/>
        <v>0</v>
      </c>
      <c r="AN87" s="47">
        <f t="shared" si="189"/>
        <v>0</v>
      </c>
      <c r="AO87" s="30">
        <f t="shared" si="190"/>
        <v>3.3</v>
      </c>
      <c r="AP87" s="36">
        <f t="shared" si="191"/>
        <v>4274.7209999999995</v>
      </c>
    </row>
    <row r="88" spans="1:42" ht="39" customHeight="1" x14ac:dyDescent="0.25">
      <c r="A88" s="92" t="s">
        <v>682</v>
      </c>
      <c r="B88" s="12" t="s">
        <v>155</v>
      </c>
      <c r="C88" s="11" t="s">
        <v>26</v>
      </c>
      <c r="D88" s="11" t="s">
        <v>156</v>
      </c>
      <c r="E88" s="13" t="s">
        <v>24</v>
      </c>
      <c r="F88" s="12">
        <v>8.8000000000000007</v>
      </c>
      <c r="G88" s="14">
        <v>1057.71</v>
      </c>
      <c r="H88" s="14">
        <v>1295.3699999999999</v>
      </c>
      <c r="I88" s="14">
        <v>11399.25</v>
      </c>
      <c r="J88" s="28">
        <v>8.1365096359743046E-3</v>
      </c>
      <c r="K88" s="186"/>
      <c r="L88" s="186"/>
      <c r="M88" s="186"/>
      <c r="N88" s="186"/>
      <c r="O88" s="30"/>
      <c r="P88" s="43">
        <f t="shared" si="173"/>
        <v>0</v>
      </c>
      <c r="Q88" s="30">
        <f>O88</f>
        <v>0</v>
      </c>
      <c r="R88" s="25">
        <f t="shared" si="174"/>
        <v>0</v>
      </c>
      <c r="S88" s="30">
        <f t="shared" si="175"/>
        <v>8.8000000000000007</v>
      </c>
      <c r="T88" s="36">
        <f t="shared" si="176"/>
        <v>11399.255999999999</v>
      </c>
      <c r="U88" s="30"/>
      <c r="V88" s="43">
        <f t="shared" si="177"/>
        <v>0</v>
      </c>
      <c r="W88" s="30">
        <f t="shared" si="178"/>
        <v>0</v>
      </c>
      <c r="X88" s="47">
        <f t="shared" si="179"/>
        <v>0</v>
      </c>
      <c r="Y88" s="30">
        <f t="shared" si="180"/>
        <v>8.8000000000000007</v>
      </c>
      <c r="Z88" s="36">
        <f t="shared" si="181"/>
        <v>11399.255999999999</v>
      </c>
      <c r="AA88" s="52"/>
      <c r="AB88" s="43">
        <f t="shared" si="182"/>
        <v>0</v>
      </c>
      <c r="AC88" s="30"/>
      <c r="AD88" s="43"/>
      <c r="AE88" s="30">
        <f t="shared" si="183"/>
        <v>0</v>
      </c>
      <c r="AF88" s="47">
        <f t="shared" si="184"/>
        <v>0</v>
      </c>
      <c r="AG88" s="30">
        <f t="shared" si="185"/>
        <v>8.8000000000000007</v>
      </c>
      <c r="AH88" s="36">
        <f t="shared" si="186"/>
        <v>11399.255999999999</v>
      </c>
      <c r="AI88" s="52"/>
      <c r="AJ88" s="43">
        <f t="shared" si="187"/>
        <v>0</v>
      </c>
      <c r="AK88" s="30"/>
      <c r="AL88" s="43"/>
      <c r="AM88" s="30">
        <f t="shared" si="188"/>
        <v>0</v>
      </c>
      <c r="AN88" s="47">
        <f t="shared" si="189"/>
        <v>0</v>
      </c>
      <c r="AO88" s="30">
        <f t="shared" si="190"/>
        <v>8.8000000000000007</v>
      </c>
      <c r="AP88" s="36">
        <f t="shared" si="191"/>
        <v>11399.255999999999</v>
      </c>
    </row>
    <row r="89" spans="1:42" ht="39" customHeight="1" x14ac:dyDescent="0.25">
      <c r="A89" s="92" t="s">
        <v>683</v>
      </c>
      <c r="B89" s="12" t="s">
        <v>155</v>
      </c>
      <c r="C89" s="11" t="s">
        <v>26</v>
      </c>
      <c r="D89" s="11" t="s">
        <v>156</v>
      </c>
      <c r="E89" s="13" t="s">
        <v>24</v>
      </c>
      <c r="F89" s="12">
        <v>67.760000000000005</v>
      </c>
      <c r="G89" s="14">
        <v>1057.71</v>
      </c>
      <c r="H89" s="14">
        <v>1295.3699999999999</v>
      </c>
      <c r="I89" s="14">
        <v>87774.27</v>
      </c>
      <c r="J89" s="28">
        <v>6.2651156316916493E-2</v>
      </c>
      <c r="K89" s="186"/>
      <c r="L89" s="186"/>
      <c r="M89" s="186"/>
      <c r="N89" s="186"/>
      <c r="O89" s="30"/>
      <c r="P89" s="43">
        <f t="shared" si="173"/>
        <v>0</v>
      </c>
      <c r="Q89" s="30">
        <f>O89</f>
        <v>0</v>
      </c>
      <c r="R89" s="25">
        <f t="shared" si="174"/>
        <v>0</v>
      </c>
      <c r="S89" s="30">
        <f t="shared" si="175"/>
        <v>67.760000000000005</v>
      </c>
      <c r="T89" s="36">
        <f t="shared" si="176"/>
        <v>87774.271200000003</v>
      </c>
      <c r="U89" s="30"/>
      <c r="V89" s="43">
        <f t="shared" si="177"/>
        <v>0</v>
      </c>
      <c r="W89" s="30">
        <f t="shared" si="178"/>
        <v>0</v>
      </c>
      <c r="X89" s="47">
        <f t="shared" si="179"/>
        <v>0</v>
      </c>
      <c r="Y89" s="30">
        <f t="shared" si="180"/>
        <v>67.760000000000005</v>
      </c>
      <c r="Z89" s="36">
        <f t="shared" si="181"/>
        <v>87774.271200000003</v>
      </c>
      <c r="AA89" s="52"/>
      <c r="AB89" s="43">
        <f t="shared" si="182"/>
        <v>0</v>
      </c>
      <c r="AC89" s="30"/>
      <c r="AD89" s="43"/>
      <c r="AE89" s="30">
        <f t="shared" si="183"/>
        <v>0</v>
      </c>
      <c r="AF89" s="47">
        <f t="shared" si="184"/>
        <v>0</v>
      </c>
      <c r="AG89" s="30">
        <f t="shared" si="185"/>
        <v>67.760000000000005</v>
      </c>
      <c r="AH89" s="36">
        <f t="shared" si="186"/>
        <v>87774.271200000003</v>
      </c>
      <c r="AI89" s="52"/>
      <c r="AJ89" s="43">
        <f t="shared" si="187"/>
        <v>0</v>
      </c>
      <c r="AK89" s="30"/>
      <c r="AL89" s="43"/>
      <c r="AM89" s="30">
        <f t="shared" si="188"/>
        <v>0</v>
      </c>
      <c r="AN89" s="47">
        <f t="shared" si="189"/>
        <v>0</v>
      </c>
      <c r="AO89" s="30">
        <f t="shared" si="190"/>
        <v>67.760000000000005</v>
      </c>
      <c r="AP89" s="36">
        <f t="shared" si="191"/>
        <v>87774.271200000003</v>
      </c>
    </row>
    <row r="90" spans="1:42" ht="14.25" customHeight="1" x14ac:dyDescent="0.25">
      <c r="A90" s="92" t="s">
        <v>684</v>
      </c>
      <c r="B90" s="12" t="s">
        <v>159</v>
      </c>
      <c r="C90" s="11" t="s">
        <v>29</v>
      </c>
      <c r="D90" s="11" t="s">
        <v>160</v>
      </c>
      <c r="E90" s="13" t="s">
        <v>24</v>
      </c>
      <c r="F90" s="12">
        <v>6.48</v>
      </c>
      <c r="G90" s="14">
        <v>395.17</v>
      </c>
      <c r="H90" s="14">
        <v>483.96</v>
      </c>
      <c r="I90" s="14">
        <v>3136.06</v>
      </c>
      <c r="J90" s="28">
        <v>2.2384439685938615E-3</v>
      </c>
      <c r="K90" s="186"/>
      <c r="L90" s="186"/>
      <c r="M90" s="186"/>
      <c r="N90" s="186"/>
      <c r="O90" s="30"/>
      <c r="P90" s="43">
        <f t="shared" si="173"/>
        <v>0</v>
      </c>
      <c r="Q90" s="30">
        <f>O90</f>
        <v>0</v>
      </c>
      <c r="R90" s="25">
        <f t="shared" si="174"/>
        <v>0</v>
      </c>
      <c r="S90" s="30">
        <f t="shared" si="175"/>
        <v>6.48</v>
      </c>
      <c r="T90" s="36">
        <f t="shared" si="176"/>
        <v>3136.0608000000002</v>
      </c>
      <c r="U90" s="30"/>
      <c r="V90" s="43">
        <f t="shared" si="177"/>
        <v>0</v>
      </c>
      <c r="W90" s="30">
        <f t="shared" si="178"/>
        <v>0</v>
      </c>
      <c r="X90" s="47">
        <f t="shared" si="179"/>
        <v>0</v>
      </c>
      <c r="Y90" s="30">
        <f t="shared" si="180"/>
        <v>6.48</v>
      </c>
      <c r="Z90" s="36">
        <f t="shared" si="181"/>
        <v>3136.0608000000002</v>
      </c>
      <c r="AA90" s="52"/>
      <c r="AB90" s="43">
        <f t="shared" si="182"/>
        <v>0</v>
      </c>
      <c r="AC90" s="30"/>
      <c r="AD90" s="43"/>
      <c r="AE90" s="30">
        <f t="shared" si="183"/>
        <v>0</v>
      </c>
      <c r="AF90" s="47">
        <f t="shared" si="184"/>
        <v>0</v>
      </c>
      <c r="AG90" s="30">
        <f t="shared" si="185"/>
        <v>6.48</v>
      </c>
      <c r="AH90" s="36">
        <f t="shared" si="186"/>
        <v>3136.0608000000002</v>
      </c>
      <c r="AI90" s="52"/>
      <c r="AJ90" s="43">
        <f t="shared" si="187"/>
        <v>0</v>
      </c>
      <c r="AK90" s="30"/>
      <c r="AL90" s="43"/>
      <c r="AM90" s="30">
        <f t="shared" si="188"/>
        <v>0</v>
      </c>
      <c r="AN90" s="47">
        <f t="shared" si="189"/>
        <v>0</v>
      </c>
      <c r="AO90" s="30">
        <f t="shared" si="190"/>
        <v>6.48</v>
      </c>
      <c r="AP90" s="36">
        <f t="shared" si="191"/>
        <v>3136.0608000000002</v>
      </c>
    </row>
    <row r="91" spans="1:42" ht="39" customHeight="1" x14ac:dyDescent="0.25">
      <c r="A91" s="92" t="s">
        <v>685</v>
      </c>
      <c r="B91" s="12" t="s">
        <v>161</v>
      </c>
      <c r="C91" s="11" t="s">
        <v>26</v>
      </c>
      <c r="D91" s="11" t="s">
        <v>162</v>
      </c>
      <c r="E91" s="13" t="s">
        <v>24</v>
      </c>
      <c r="F91" s="12">
        <v>1.98</v>
      </c>
      <c r="G91" s="14">
        <v>1199.05</v>
      </c>
      <c r="H91" s="14">
        <v>1468.47</v>
      </c>
      <c r="I91" s="14">
        <v>2907.57</v>
      </c>
      <c r="J91" s="28">
        <v>2.075353319057816E-3</v>
      </c>
      <c r="K91" s="186"/>
      <c r="L91" s="186"/>
      <c r="M91" s="186"/>
      <c r="N91" s="186"/>
      <c r="O91" s="30"/>
      <c r="P91" s="43">
        <f t="shared" si="173"/>
        <v>0</v>
      </c>
      <c r="Q91" s="30">
        <f t="shared" ref="Q91:Q92" si="193">O91</f>
        <v>0</v>
      </c>
      <c r="R91" s="25">
        <f t="shared" si="174"/>
        <v>0</v>
      </c>
      <c r="S91" s="30">
        <f t="shared" si="175"/>
        <v>1.98</v>
      </c>
      <c r="T91" s="36">
        <f t="shared" si="176"/>
        <v>2907.5706</v>
      </c>
      <c r="U91" s="30"/>
      <c r="V91" s="43">
        <f t="shared" si="177"/>
        <v>0</v>
      </c>
      <c r="W91" s="30">
        <f t="shared" si="178"/>
        <v>0</v>
      </c>
      <c r="X91" s="47">
        <f t="shared" si="179"/>
        <v>0</v>
      </c>
      <c r="Y91" s="30">
        <f t="shared" si="180"/>
        <v>1.98</v>
      </c>
      <c r="Z91" s="36">
        <f t="shared" si="181"/>
        <v>2907.5706</v>
      </c>
      <c r="AA91" s="52"/>
      <c r="AB91" s="43">
        <f t="shared" si="182"/>
        <v>0</v>
      </c>
      <c r="AC91" s="30"/>
      <c r="AD91" s="43"/>
      <c r="AE91" s="30">
        <f t="shared" si="183"/>
        <v>0</v>
      </c>
      <c r="AF91" s="47">
        <f t="shared" si="184"/>
        <v>0</v>
      </c>
      <c r="AG91" s="30">
        <f t="shared" si="185"/>
        <v>1.98</v>
      </c>
      <c r="AH91" s="36">
        <f t="shared" si="186"/>
        <v>2907.5706</v>
      </c>
      <c r="AI91" s="52"/>
      <c r="AJ91" s="43">
        <f t="shared" si="187"/>
        <v>0</v>
      </c>
      <c r="AK91" s="30"/>
      <c r="AL91" s="43"/>
      <c r="AM91" s="30">
        <f t="shared" si="188"/>
        <v>0</v>
      </c>
      <c r="AN91" s="47">
        <f t="shared" si="189"/>
        <v>0</v>
      </c>
      <c r="AO91" s="30">
        <f t="shared" si="190"/>
        <v>1.98</v>
      </c>
      <c r="AP91" s="36">
        <f t="shared" si="191"/>
        <v>2907.5706</v>
      </c>
    </row>
    <row r="92" spans="1:42" ht="27.75" customHeight="1" x14ac:dyDescent="0.25">
      <c r="A92" s="92" t="s">
        <v>686</v>
      </c>
      <c r="B92" s="12" t="s">
        <v>163</v>
      </c>
      <c r="C92" s="11" t="s">
        <v>22</v>
      </c>
      <c r="D92" s="11" t="s">
        <v>164</v>
      </c>
      <c r="E92" s="13" t="s">
        <v>24</v>
      </c>
      <c r="F92" s="12">
        <v>4.2</v>
      </c>
      <c r="G92" s="14">
        <v>46.58</v>
      </c>
      <c r="H92" s="14">
        <v>57.04</v>
      </c>
      <c r="I92" s="14">
        <v>239.56</v>
      </c>
      <c r="J92" s="28">
        <v>1.7099214846538188E-4</v>
      </c>
      <c r="K92" s="186"/>
      <c r="L92" s="186"/>
      <c r="M92" s="186"/>
      <c r="N92" s="186"/>
      <c r="O92" s="30"/>
      <c r="P92" s="43">
        <f t="shared" si="173"/>
        <v>0</v>
      </c>
      <c r="Q92" s="30">
        <f t="shared" si="193"/>
        <v>0</v>
      </c>
      <c r="R92" s="25">
        <f t="shared" si="174"/>
        <v>0</v>
      </c>
      <c r="S92" s="30">
        <f t="shared" si="175"/>
        <v>4.2</v>
      </c>
      <c r="T92" s="36">
        <f t="shared" si="176"/>
        <v>239.56800000000001</v>
      </c>
      <c r="U92" s="30"/>
      <c r="V92" s="43">
        <f t="shared" si="177"/>
        <v>0</v>
      </c>
      <c r="W92" s="30">
        <f t="shared" si="178"/>
        <v>0</v>
      </c>
      <c r="X92" s="47">
        <f t="shared" si="179"/>
        <v>0</v>
      </c>
      <c r="Y92" s="30">
        <f t="shared" si="180"/>
        <v>4.2</v>
      </c>
      <c r="Z92" s="36">
        <f t="shared" si="181"/>
        <v>239.56800000000001</v>
      </c>
      <c r="AA92" s="52"/>
      <c r="AB92" s="43">
        <f t="shared" si="182"/>
        <v>0</v>
      </c>
      <c r="AC92" s="30"/>
      <c r="AD92" s="43"/>
      <c r="AE92" s="30">
        <f t="shared" si="183"/>
        <v>0</v>
      </c>
      <c r="AF92" s="47">
        <f t="shared" si="184"/>
        <v>0</v>
      </c>
      <c r="AG92" s="30">
        <f t="shared" si="185"/>
        <v>4.2</v>
      </c>
      <c r="AH92" s="36">
        <f t="shared" si="186"/>
        <v>239.56800000000001</v>
      </c>
      <c r="AI92" s="52"/>
      <c r="AJ92" s="43">
        <f t="shared" si="187"/>
        <v>0</v>
      </c>
      <c r="AK92" s="30"/>
      <c r="AL92" s="43"/>
      <c r="AM92" s="30">
        <f t="shared" si="188"/>
        <v>0</v>
      </c>
      <c r="AN92" s="47">
        <f t="shared" si="189"/>
        <v>0</v>
      </c>
      <c r="AO92" s="30">
        <f t="shared" si="190"/>
        <v>4.2</v>
      </c>
      <c r="AP92" s="36">
        <f t="shared" si="191"/>
        <v>239.56800000000001</v>
      </c>
    </row>
    <row r="93" spans="1:42" ht="24" customHeight="1" x14ac:dyDescent="0.25">
      <c r="A93" s="91" t="s">
        <v>165</v>
      </c>
      <c r="B93" s="8"/>
      <c r="C93" s="8"/>
      <c r="D93" s="8" t="s">
        <v>166</v>
      </c>
      <c r="E93" s="8"/>
      <c r="F93" s="9"/>
      <c r="G93" s="8"/>
      <c r="H93" s="8"/>
      <c r="I93" s="10">
        <v>2280.14</v>
      </c>
      <c r="J93" s="27">
        <v>1.6275089221984298E-3</v>
      </c>
      <c r="K93" s="185"/>
      <c r="L93" s="185"/>
      <c r="M93" s="185"/>
      <c r="N93" s="185"/>
      <c r="O93" s="32"/>
      <c r="P93" s="44"/>
      <c r="Q93" s="22"/>
      <c r="R93" s="22"/>
      <c r="S93" s="32"/>
      <c r="T93" s="37">
        <f>SUM(T94:T95)</f>
        <v>2280.1504</v>
      </c>
      <c r="U93" s="32"/>
      <c r="V93" s="44"/>
      <c r="W93" s="32"/>
      <c r="X93" s="48"/>
      <c r="Y93" s="32"/>
      <c r="Z93" s="37">
        <f>SUM(Z94:Z95)</f>
        <v>2280.1504</v>
      </c>
      <c r="AA93" s="53"/>
      <c r="AB93" s="44"/>
      <c r="AC93" s="32"/>
      <c r="AD93" s="44"/>
      <c r="AE93" s="32"/>
      <c r="AF93" s="48"/>
      <c r="AG93" s="32"/>
      <c r="AH93" s="37">
        <f>SUM(AH94:AH95)</f>
        <v>2280.1504</v>
      </c>
      <c r="AI93" s="53"/>
      <c r="AJ93" s="44"/>
      <c r="AK93" s="32"/>
      <c r="AL93" s="44"/>
      <c r="AM93" s="32"/>
      <c r="AN93" s="48"/>
      <c r="AO93" s="32"/>
      <c r="AP93" s="37">
        <f>SUM(AP94:AP95)</f>
        <v>2280.1504</v>
      </c>
    </row>
    <row r="94" spans="1:42" ht="14.25" customHeight="1" x14ac:dyDescent="0.25">
      <c r="A94" s="92" t="s">
        <v>687</v>
      </c>
      <c r="B94" s="12" t="s">
        <v>167</v>
      </c>
      <c r="C94" s="11" t="s">
        <v>29</v>
      </c>
      <c r="D94" s="11" t="s">
        <v>168</v>
      </c>
      <c r="E94" s="13" t="s">
        <v>24</v>
      </c>
      <c r="F94" s="12">
        <v>1.98</v>
      </c>
      <c r="G94" s="14">
        <v>196.85</v>
      </c>
      <c r="H94" s="14">
        <v>241.08</v>
      </c>
      <c r="I94" s="14">
        <v>477.33</v>
      </c>
      <c r="J94" s="28">
        <v>3.4070663811563171E-4</v>
      </c>
      <c r="K94" s="186"/>
      <c r="L94" s="186"/>
      <c r="M94" s="186"/>
      <c r="N94" s="186"/>
      <c r="O94" s="30"/>
      <c r="P94" s="43">
        <f t="shared" ref="P94:P95" si="194">O94*H94</f>
        <v>0</v>
      </c>
      <c r="Q94" s="30">
        <f t="shared" ref="Q94:Q95" si="195">O94</f>
        <v>0</v>
      </c>
      <c r="R94" s="25">
        <f>Q94/F94</f>
        <v>0</v>
      </c>
      <c r="S94" s="30">
        <f>F94-Q94</f>
        <v>1.98</v>
      </c>
      <c r="T94" s="36">
        <f>S94*H94</f>
        <v>477.33840000000004</v>
      </c>
      <c r="U94" s="30"/>
      <c r="V94" s="43">
        <f>U94*H94</f>
        <v>0</v>
      </c>
      <c r="W94" s="30">
        <f t="shared" ref="W94:W95" si="196">Q94+U94</f>
        <v>0</v>
      </c>
      <c r="X94" s="47">
        <f t="shared" ref="X94:X95" si="197">W94/$F$8</f>
        <v>0</v>
      </c>
      <c r="Y94" s="30">
        <f t="shared" ref="Y94:Y95" si="198">F94-W94</f>
        <v>1.98</v>
      </c>
      <c r="Z94" s="36">
        <f>Y94*H94</f>
        <v>477.33840000000004</v>
      </c>
      <c r="AA94" s="52"/>
      <c r="AB94" s="43">
        <f>AA94*H94</f>
        <v>0</v>
      </c>
      <c r="AC94" s="30"/>
      <c r="AD94" s="43"/>
      <c r="AE94" s="30">
        <f t="shared" ref="AE94:AE95" si="199">W94+AC94</f>
        <v>0</v>
      </c>
      <c r="AF94" s="47">
        <f t="shared" ref="AF94:AF95" si="200">AE94/$F$8</f>
        <v>0</v>
      </c>
      <c r="AG94" s="30">
        <f t="shared" ref="AG94:AG95" si="201">F94-AE94</f>
        <v>1.98</v>
      </c>
      <c r="AH94" s="36">
        <f>AG94*H94</f>
        <v>477.33840000000004</v>
      </c>
      <c r="AI94" s="52"/>
      <c r="AJ94" s="43">
        <f t="shared" ref="AJ94:AJ95" si="202">AI94*T94</f>
        <v>0</v>
      </c>
      <c r="AK94" s="30"/>
      <c r="AL94" s="43"/>
      <c r="AM94" s="30">
        <f t="shared" ref="AM94:AM95" si="203">AE94+AK94</f>
        <v>0</v>
      </c>
      <c r="AN94" s="47">
        <f t="shared" ref="AN94:AN95" si="204">AM94/$F$8</f>
        <v>0</v>
      </c>
      <c r="AO94" s="30">
        <f t="shared" ref="AO94:AO95" si="205">F94-AM94</f>
        <v>1.98</v>
      </c>
      <c r="AP94" s="36">
        <f>AO94*H94</f>
        <v>477.33840000000004</v>
      </c>
    </row>
    <row r="95" spans="1:42" ht="25.5" customHeight="1" x14ac:dyDescent="0.25">
      <c r="A95" s="92" t="s">
        <v>688</v>
      </c>
      <c r="B95" s="12" t="s">
        <v>169</v>
      </c>
      <c r="C95" s="11" t="s">
        <v>29</v>
      </c>
      <c r="D95" s="11" t="s">
        <v>170</v>
      </c>
      <c r="E95" s="13" t="s">
        <v>24</v>
      </c>
      <c r="F95" s="12">
        <v>4.4000000000000004</v>
      </c>
      <c r="G95" s="14">
        <v>334.56</v>
      </c>
      <c r="H95" s="14">
        <v>409.73</v>
      </c>
      <c r="I95" s="14">
        <v>1802.81</v>
      </c>
      <c r="J95" s="28">
        <v>1.286802284082798E-3</v>
      </c>
      <c r="K95" s="186"/>
      <c r="L95" s="186"/>
      <c r="M95" s="186"/>
      <c r="N95" s="186"/>
      <c r="O95" s="30"/>
      <c r="P95" s="43">
        <f t="shared" si="194"/>
        <v>0</v>
      </c>
      <c r="Q95" s="30">
        <f t="shared" si="195"/>
        <v>0</v>
      </c>
      <c r="R95" s="25">
        <f>Q95/F95</f>
        <v>0</v>
      </c>
      <c r="S95" s="30">
        <f>F95-Q95</f>
        <v>4.4000000000000004</v>
      </c>
      <c r="T95" s="36">
        <f>S95*H95</f>
        <v>1802.8120000000001</v>
      </c>
      <c r="U95" s="30"/>
      <c r="V95" s="43">
        <f>U95*H95</f>
        <v>0</v>
      </c>
      <c r="W95" s="30">
        <f t="shared" si="196"/>
        <v>0</v>
      </c>
      <c r="X95" s="47">
        <f t="shared" si="197"/>
        <v>0</v>
      </c>
      <c r="Y95" s="30">
        <f t="shared" si="198"/>
        <v>4.4000000000000004</v>
      </c>
      <c r="Z95" s="36">
        <f>Y95*H95</f>
        <v>1802.8120000000001</v>
      </c>
      <c r="AA95" s="52"/>
      <c r="AB95" s="43">
        <f>AA95*H95</f>
        <v>0</v>
      </c>
      <c r="AC95" s="30"/>
      <c r="AD95" s="43"/>
      <c r="AE95" s="30">
        <f t="shared" si="199"/>
        <v>0</v>
      </c>
      <c r="AF95" s="47">
        <f t="shared" si="200"/>
        <v>0</v>
      </c>
      <c r="AG95" s="30">
        <f t="shared" si="201"/>
        <v>4.4000000000000004</v>
      </c>
      <c r="AH95" s="36">
        <f>AG95*H95</f>
        <v>1802.8120000000001</v>
      </c>
      <c r="AI95" s="52"/>
      <c r="AJ95" s="43">
        <f t="shared" si="202"/>
        <v>0</v>
      </c>
      <c r="AK95" s="30"/>
      <c r="AL95" s="43"/>
      <c r="AM95" s="30">
        <f t="shared" si="203"/>
        <v>0</v>
      </c>
      <c r="AN95" s="47">
        <f t="shared" si="204"/>
        <v>0</v>
      </c>
      <c r="AO95" s="30">
        <f t="shared" si="205"/>
        <v>4.4000000000000004</v>
      </c>
      <c r="AP95" s="36">
        <f>AO95*H95</f>
        <v>1802.8120000000001</v>
      </c>
    </row>
    <row r="96" spans="1:42" ht="14.25" customHeight="1" x14ac:dyDescent="0.25">
      <c r="A96" s="91" t="s">
        <v>171</v>
      </c>
      <c r="B96" s="8"/>
      <c r="C96" s="8"/>
      <c r="D96" s="8" t="s">
        <v>172</v>
      </c>
      <c r="E96" s="8"/>
      <c r="F96" s="9"/>
      <c r="G96" s="8"/>
      <c r="H96" s="8"/>
      <c r="I96" s="10">
        <v>219581.14</v>
      </c>
      <c r="J96" s="27">
        <v>0.15673172019985723</v>
      </c>
      <c r="K96" s="185"/>
      <c r="L96" s="185"/>
      <c r="M96" s="185"/>
      <c r="N96" s="185"/>
      <c r="O96" s="32"/>
      <c r="P96" s="44"/>
      <c r="Q96" s="22"/>
      <c r="R96" s="22"/>
      <c r="S96" s="32"/>
      <c r="T96" s="37">
        <f>SUM(T97:T104)</f>
        <v>219581.17179999998</v>
      </c>
      <c r="U96" s="32"/>
      <c r="V96" s="44"/>
      <c r="W96" s="32"/>
      <c r="X96" s="48"/>
      <c r="Y96" s="32"/>
      <c r="Z96" s="37">
        <f>SUM(Z97:Z104)</f>
        <v>219581.17179999998</v>
      </c>
      <c r="AA96" s="53"/>
      <c r="AB96" s="44"/>
      <c r="AC96" s="32"/>
      <c r="AD96" s="44"/>
      <c r="AE96" s="32"/>
      <c r="AF96" s="48"/>
      <c r="AG96" s="32"/>
      <c r="AH96" s="37">
        <f>SUM(AH97:AH104)</f>
        <v>219581.17179999998</v>
      </c>
      <c r="AI96" s="53"/>
      <c r="AJ96" s="44"/>
      <c r="AK96" s="32"/>
      <c r="AL96" s="44"/>
      <c r="AM96" s="32"/>
      <c r="AN96" s="48"/>
      <c r="AO96" s="32"/>
      <c r="AP96" s="37">
        <f>SUM(AP97:AP104)</f>
        <v>219581.17179999998</v>
      </c>
    </row>
    <row r="97" spans="1:42" ht="39" customHeight="1" x14ac:dyDescent="0.25">
      <c r="A97" s="92" t="s">
        <v>689</v>
      </c>
      <c r="B97" s="12" t="s">
        <v>173</v>
      </c>
      <c r="C97" s="11" t="s">
        <v>26</v>
      </c>
      <c r="D97" s="11" t="s">
        <v>174</v>
      </c>
      <c r="E97" s="13" t="s">
        <v>31</v>
      </c>
      <c r="F97" s="12">
        <v>23</v>
      </c>
      <c r="G97" s="14">
        <v>1418.51</v>
      </c>
      <c r="H97" s="14">
        <v>1737.24</v>
      </c>
      <c r="I97" s="14">
        <v>39956.519999999997</v>
      </c>
      <c r="J97" s="28">
        <v>2.852E-2</v>
      </c>
      <c r="K97" s="186"/>
      <c r="L97" s="186"/>
      <c r="M97" s="186"/>
      <c r="N97" s="186"/>
      <c r="O97" s="30"/>
      <c r="P97" s="43">
        <f t="shared" ref="P97:P104" si="206">O97*H97</f>
        <v>0</v>
      </c>
      <c r="Q97" s="30">
        <f>O97</f>
        <v>0</v>
      </c>
      <c r="R97" s="25">
        <f t="shared" ref="R97:R104" si="207">Q97/F97</f>
        <v>0</v>
      </c>
      <c r="S97" s="30">
        <f t="shared" ref="S97:S104" si="208">F97-Q97</f>
        <v>23</v>
      </c>
      <c r="T97" s="36">
        <f t="shared" ref="T97:T104" si="209">S97*H97</f>
        <v>39956.519999999997</v>
      </c>
      <c r="U97" s="30"/>
      <c r="V97" s="43">
        <f t="shared" ref="V97:V104" si="210">U97*H97</f>
        <v>0</v>
      </c>
      <c r="W97" s="30">
        <f t="shared" ref="W97:W104" si="211">Q97+U97</f>
        <v>0</v>
      </c>
      <c r="X97" s="47">
        <f t="shared" ref="X97:X104" si="212">W97/$F$8</f>
        <v>0</v>
      </c>
      <c r="Y97" s="30">
        <f t="shared" ref="Y97:Y104" si="213">F97-W97</f>
        <v>23</v>
      </c>
      <c r="Z97" s="36">
        <f t="shared" ref="Z97:Z104" si="214">Y97*H97</f>
        <v>39956.519999999997</v>
      </c>
      <c r="AA97" s="52"/>
      <c r="AB97" s="43">
        <f t="shared" ref="AB97:AB104" si="215">AA97*H97</f>
        <v>0</v>
      </c>
      <c r="AC97" s="30"/>
      <c r="AD97" s="43"/>
      <c r="AE97" s="30">
        <f t="shared" ref="AE97:AE104" si="216">W97+AC97</f>
        <v>0</v>
      </c>
      <c r="AF97" s="47">
        <f t="shared" ref="AF97:AF104" si="217">AE97/$F$8</f>
        <v>0</v>
      </c>
      <c r="AG97" s="30">
        <f t="shared" ref="AG97:AG104" si="218">F97-AE97</f>
        <v>23</v>
      </c>
      <c r="AH97" s="36">
        <f t="shared" ref="AH97:AH104" si="219">AG97*H97</f>
        <v>39956.519999999997</v>
      </c>
      <c r="AI97" s="52"/>
      <c r="AJ97" s="43">
        <f t="shared" ref="AJ97:AJ104" si="220">AI97*T97</f>
        <v>0</v>
      </c>
      <c r="AK97" s="30"/>
      <c r="AL97" s="43"/>
      <c r="AM97" s="30">
        <f t="shared" ref="AM97:AM104" si="221">AE97+AK97</f>
        <v>0</v>
      </c>
      <c r="AN97" s="47">
        <f t="shared" ref="AN97:AN104" si="222">AM97/$F$8</f>
        <v>0</v>
      </c>
      <c r="AO97" s="30">
        <f t="shared" ref="AO97:AO104" si="223">F97-AM97</f>
        <v>23</v>
      </c>
      <c r="AP97" s="36">
        <f t="shared" ref="AP97:AP104" si="224">AO97*H97</f>
        <v>39956.519999999997</v>
      </c>
    </row>
    <row r="98" spans="1:42" ht="39" customHeight="1" x14ac:dyDescent="0.25">
      <c r="A98" s="92" t="s">
        <v>690</v>
      </c>
      <c r="B98" s="12" t="s">
        <v>175</v>
      </c>
      <c r="C98" s="11" t="s">
        <v>26</v>
      </c>
      <c r="D98" s="11" t="s">
        <v>176</v>
      </c>
      <c r="E98" s="13" t="s">
        <v>31</v>
      </c>
      <c r="F98" s="12">
        <v>10</v>
      </c>
      <c r="G98" s="14">
        <v>1151.54</v>
      </c>
      <c r="H98" s="14">
        <v>1410.29</v>
      </c>
      <c r="I98" s="14">
        <v>14102.9</v>
      </c>
      <c r="J98" s="28">
        <v>1.0066309778729479E-2</v>
      </c>
      <c r="K98" s="186"/>
      <c r="L98" s="186"/>
      <c r="M98" s="186"/>
      <c r="N98" s="186"/>
      <c r="O98" s="30"/>
      <c r="P98" s="43">
        <f t="shared" si="206"/>
        <v>0</v>
      </c>
      <c r="Q98" s="30">
        <f>O98</f>
        <v>0</v>
      </c>
      <c r="R98" s="25">
        <f t="shared" si="207"/>
        <v>0</v>
      </c>
      <c r="S98" s="30">
        <f t="shared" si="208"/>
        <v>10</v>
      </c>
      <c r="T98" s="36">
        <f t="shared" si="209"/>
        <v>14102.9</v>
      </c>
      <c r="U98" s="30"/>
      <c r="V98" s="43">
        <f t="shared" si="210"/>
        <v>0</v>
      </c>
      <c r="W98" s="30">
        <f t="shared" si="211"/>
        <v>0</v>
      </c>
      <c r="X98" s="47">
        <f t="shared" si="212"/>
        <v>0</v>
      </c>
      <c r="Y98" s="30">
        <f t="shared" si="213"/>
        <v>10</v>
      </c>
      <c r="Z98" s="36">
        <f t="shared" si="214"/>
        <v>14102.9</v>
      </c>
      <c r="AA98" s="52"/>
      <c r="AB98" s="43">
        <f t="shared" si="215"/>
        <v>0</v>
      </c>
      <c r="AC98" s="30"/>
      <c r="AD98" s="43"/>
      <c r="AE98" s="30">
        <f t="shared" si="216"/>
        <v>0</v>
      </c>
      <c r="AF98" s="47">
        <f t="shared" si="217"/>
        <v>0</v>
      </c>
      <c r="AG98" s="30">
        <f t="shared" si="218"/>
        <v>10</v>
      </c>
      <c r="AH98" s="36">
        <f t="shared" si="219"/>
        <v>14102.9</v>
      </c>
      <c r="AI98" s="52"/>
      <c r="AJ98" s="43">
        <f t="shared" si="220"/>
        <v>0</v>
      </c>
      <c r="AK98" s="30"/>
      <c r="AL98" s="43"/>
      <c r="AM98" s="30">
        <f t="shared" si="221"/>
        <v>0</v>
      </c>
      <c r="AN98" s="47">
        <f t="shared" si="222"/>
        <v>0</v>
      </c>
      <c r="AO98" s="30">
        <f t="shared" si="223"/>
        <v>10</v>
      </c>
      <c r="AP98" s="36">
        <f t="shared" si="224"/>
        <v>14102.9</v>
      </c>
    </row>
    <row r="99" spans="1:42" ht="39" customHeight="1" x14ac:dyDescent="0.25">
      <c r="A99" s="92" t="s">
        <v>691</v>
      </c>
      <c r="B99" s="12" t="s">
        <v>177</v>
      </c>
      <c r="C99" s="11" t="s">
        <v>26</v>
      </c>
      <c r="D99" s="11" t="s">
        <v>178</v>
      </c>
      <c r="E99" s="13" t="s">
        <v>31</v>
      </c>
      <c r="F99" s="12">
        <v>6</v>
      </c>
      <c r="G99" s="14">
        <v>916.15</v>
      </c>
      <c r="H99" s="14">
        <v>1122</v>
      </c>
      <c r="I99" s="14">
        <v>6732</v>
      </c>
      <c r="J99" s="28">
        <v>4.8051391862955033E-3</v>
      </c>
      <c r="K99" s="186"/>
      <c r="L99" s="186"/>
      <c r="M99" s="186"/>
      <c r="N99" s="186"/>
      <c r="O99" s="30"/>
      <c r="P99" s="43">
        <f t="shared" si="206"/>
        <v>0</v>
      </c>
      <c r="Q99" s="30">
        <f t="shared" ref="Q99:Q101" si="225">O99</f>
        <v>0</v>
      </c>
      <c r="R99" s="25">
        <f t="shared" si="207"/>
        <v>0</v>
      </c>
      <c r="S99" s="30">
        <f t="shared" si="208"/>
        <v>6</v>
      </c>
      <c r="T99" s="36">
        <f t="shared" si="209"/>
        <v>6732</v>
      </c>
      <c r="U99" s="30"/>
      <c r="V99" s="43">
        <f t="shared" si="210"/>
        <v>0</v>
      </c>
      <c r="W99" s="30">
        <f t="shared" si="211"/>
        <v>0</v>
      </c>
      <c r="X99" s="47">
        <f t="shared" si="212"/>
        <v>0</v>
      </c>
      <c r="Y99" s="30">
        <f t="shared" si="213"/>
        <v>6</v>
      </c>
      <c r="Z99" s="36">
        <f t="shared" si="214"/>
        <v>6732</v>
      </c>
      <c r="AA99" s="52"/>
      <c r="AB99" s="43">
        <f t="shared" si="215"/>
        <v>0</v>
      </c>
      <c r="AC99" s="30"/>
      <c r="AD99" s="43"/>
      <c r="AE99" s="30">
        <f t="shared" si="216"/>
        <v>0</v>
      </c>
      <c r="AF99" s="47">
        <f t="shared" si="217"/>
        <v>0</v>
      </c>
      <c r="AG99" s="30">
        <f t="shared" si="218"/>
        <v>6</v>
      </c>
      <c r="AH99" s="36">
        <f t="shared" si="219"/>
        <v>6732</v>
      </c>
      <c r="AI99" s="52"/>
      <c r="AJ99" s="43">
        <f t="shared" si="220"/>
        <v>0</v>
      </c>
      <c r="AK99" s="30"/>
      <c r="AL99" s="43"/>
      <c r="AM99" s="30">
        <f t="shared" si="221"/>
        <v>0</v>
      </c>
      <c r="AN99" s="47">
        <f t="shared" si="222"/>
        <v>0</v>
      </c>
      <c r="AO99" s="30">
        <f t="shared" si="223"/>
        <v>6</v>
      </c>
      <c r="AP99" s="36">
        <f t="shared" si="224"/>
        <v>6732</v>
      </c>
    </row>
    <row r="100" spans="1:42" ht="39" customHeight="1" x14ac:dyDescent="0.25">
      <c r="A100" s="92" t="s">
        <v>692</v>
      </c>
      <c r="B100" s="12" t="s">
        <v>179</v>
      </c>
      <c r="C100" s="11" t="s">
        <v>26</v>
      </c>
      <c r="D100" s="11" t="s">
        <v>180</v>
      </c>
      <c r="E100" s="13" t="s">
        <v>31</v>
      </c>
      <c r="F100" s="12">
        <v>6</v>
      </c>
      <c r="G100" s="14">
        <v>676.62</v>
      </c>
      <c r="H100" s="14">
        <v>828.65</v>
      </c>
      <c r="I100" s="14">
        <v>4971.8999999999996</v>
      </c>
      <c r="J100" s="28">
        <v>3.5488222698072803E-3</v>
      </c>
      <c r="K100" s="186"/>
      <c r="L100" s="186"/>
      <c r="M100" s="186"/>
      <c r="N100" s="186"/>
      <c r="O100" s="30"/>
      <c r="P100" s="43">
        <f t="shared" si="206"/>
        <v>0</v>
      </c>
      <c r="Q100" s="30">
        <f t="shared" si="225"/>
        <v>0</v>
      </c>
      <c r="R100" s="25">
        <f t="shared" si="207"/>
        <v>0</v>
      </c>
      <c r="S100" s="30">
        <f t="shared" si="208"/>
        <v>6</v>
      </c>
      <c r="T100" s="36">
        <f t="shared" si="209"/>
        <v>4971.8999999999996</v>
      </c>
      <c r="U100" s="30"/>
      <c r="V100" s="43">
        <f t="shared" si="210"/>
        <v>0</v>
      </c>
      <c r="W100" s="30">
        <f t="shared" si="211"/>
        <v>0</v>
      </c>
      <c r="X100" s="47">
        <f t="shared" si="212"/>
        <v>0</v>
      </c>
      <c r="Y100" s="30">
        <f t="shared" si="213"/>
        <v>6</v>
      </c>
      <c r="Z100" s="36">
        <f t="shared" si="214"/>
        <v>4971.8999999999996</v>
      </c>
      <c r="AA100" s="52"/>
      <c r="AB100" s="43">
        <f t="shared" si="215"/>
        <v>0</v>
      </c>
      <c r="AC100" s="30"/>
      <c r="AD100" s="43"/>
      <c r="AE100" s="30">
        <f t="shared" si="216"/>
        <v>0</v>
      </c>
      <c r="AF100" s="47">
        <f t="shared" si="217"/>
        <v>0</v>
      </c>
      <c r="AG100" s="30">
        <f t="shared" si="218"/>
        <v>6</v>
      </c>
      <c r="AH100" s="36">
        <f t="shared" si="219"/>
        <v>4971.8999999999996</v>
      </c>
      <c r="AI100" s="52"/>
      <c r="AJ100" s="43">
        <f t="shared" si="220"/>
        <v>0</v>
      </c>
      <c r="AK100" s="30"/>
      <c r="AL100" s="43"/>
      <c r="AM100" s="30">
        <f t="shared" si="221"/>
        <v>0</v>
      </c>
      <c r="AN100" s="47">
        <f t="shared" si="222"/>
        <v>0</v>
      </c>
      <c r="AO100" s="30">
        <f t="shared" si="223"/>
        <v>6</v>
      </c>
      <c r="AP100" s="36">
        <f t="shared" si="224"/>
        <v>4971.8999999999996</v>
      </c>
    </row>
    <row r="101" spans="1:42" ht="51.75" customHeight="1" x14ac:dyDescent="0.25">
      <c r="A101" s="92" t="s">
        <v>693</v>
      </c>
      <c r="B101" s="12" t="s">
        <v>181</v>
      </c>
      <c r="C101" s="11" t="s">
        <v>26</v>
      </c>
      <c r="D101" s="11" t="s">
        <v>182</v>
      </c>
      <c r="E101" s="13" t="s">
        <v>24</v>
      </c>
      <c r="F101" s="12">
        <v>1189.68</v>
      </c>
      <c r="G101" s="14">
        <v>52.52</v>
      </c>
      <c r="H101" s="14">
        <v>64.319999999999993</v>
      </c>
      <c r="I101" s="14">
        <v>76520.210000000006</v>
      </c>
      <c r="J101" s="28">
        <v>5.4618279800142756E-2</v>
      </c>
      <c r="K101" s="186"/>
      <c r="L101" s="186"/>
      <c r="M101" s="186"/>
      <c r="N101" s="186"/>
      <c r="O101" s="30"/>
      <c r="P101" s="43">
        <f t="shared" si="206"/>
        <v>0</v>
      </c>
      <c r="Q101" s="30">
        <f t="shared" si="225"/>
        <v>0</v>
      </c>
      <c r="R101" s="25">
        <f t="shared" si="207"/>
        <v>0</v>
      </c>
      <c r="S101" s="30">
        <f t="shared" si="208"/>
        <v>1189.68</v>
      </c>
      <c r="T101" s="36">
        <f t="shared" si="209"/>
        <v>76520.217599999989</v>
      </c>
      <c r="U101" s="30"/>
      <c r="V101" s="43">
        <f t="shared" si="210"/>
        <v>0</v>
      </c>
      <c r="W101" s="30">
        <f t="shared" si="211"/>
        <v>0</v>
      </c>
      <c r="X101" s="47">
        <f t="shared" si="212"/>
        <v>0</v>
      </c>
      <c r="Y101" s="30">
        <f t="shared" si="213"/>
        <v>1189.68</v>
      </c>
      <c r="Z101" s="36">
        <f t="shared" si="214"/>
        <v>76520.217599999989</v>
      </c>
      <c r="AA101" s="52"/>
      <c r="AB101" s="43">
        <f t="shared" si="215"/>
        <v>0</v>
      </c>
      <c r="AC101" s="30"/>
      <c r="AD101" s="43"/>
      <c r="AE101" s="30">
        <f t="shared" si="216"/>
        <v>0</v>
      </c>
      <c r="AF101" s="47">
        <f t="shared" si="217"/>
        <v>0</v>
      </c>
      <c r="AG101" s="30">
        <f t="shared" si="218"/>
        <v>1189.68</v>
      </c>
      <c r="AH101" s="36">
        <f t="shared" si="219"/>
        <v>76520.217599999989</v>
      </c>
      <c r="AI101" s="52"/>
      <c r="AJ101" s="43">
        <f t="shared" si="220"/>
        <v>0</v>
      </c>
      <c r="AK101" s="30"/>
      <c r="AL101" s="43"/>
      <c r="AM101" s="30">
        <f t="shared" si="221"/>
        <v>0</v>
      </c>
      <c r="AN101" s="47">
        <f t="shared" si="222"/>
        <v>0</v>
      </c>
      <c r="AO101" s="30">
        <f t="shared" si="223"/>
        <v>1189.68</v>
      </c>
      <c r="AP101" s="36">
        <f t="shared" si="224"/>
        <v>76520.217599999989</v>
      </c>
    </row>
    <row r="102" spans="1:42" ht="25.5" customHeight="1" x14ac:dyDescent="0.25">
      <c r="A102" s="92" t="s">
        <v>694</v>
      </c>
      <c r="B102" s="12" t="s">
        <v>183</v>
      </c>
      <c r="C102" s="11" t="s">
        <v>26</v>
      </c>
      <c r="D102" s="11" t="s">
        <v>184</v>
      </c>
      <c r="E102" s="13" t="s">
        <v>24</v>
      </c>
      <c r="F102" s="12">
        <v>1714.31</v>
      </c>
      <c r="G102" s="14">
        <v>13.54</v>
      </c>
      <c r="H102" s="14">
        <v>16.579999999999998</v>
      </c>
      <c r="I102" s="14">
        <v>28423.25</v>
      </c>
      <c r="J102" s="28">
        <v>2.0287830121341898E-2</v>
      </c>
      <c r="K102" s="186"/>
      <c r="L102" s="186"/>
      <c r="M102" s="186"/>
      <c r="N102" s="186"/>
      <c r="O102" s="30"/>
      <c r="P102" s="43">
        <f t="shared" si="206"/>
        <v>0</v>
      </c>
      <c r="Q102" s="30">
        <f>O102</f>
        <v>0</v>
      </c>
      <c r="R102" s="25">
        <f t="shared" si="207"/>
        <v>0</v>
      </c>
      <c r="S102" s="30">
        <f t="shared" si="208"/>
        <v>1714.31</v>
      </c>
      <c r="T102" s="36">
        <f t="shared" si="209"/>
        <v>28423.259799999996</v>
      </c>
      <c r="U102" s="30"/>
      <c r="V102" s="43">
        <f t="shared" si="210"/>
        <v>0</v>
      </c>
      <c r="W102" s="30">
        <f t="shared" si="211"/>
        <v>0</v>
      </c>
      <c r="X102" s="47">
        <f t="shared" si="212"/>
        <v>0</v>
      </c>
      <c r="Y102" s="30">
        <f t="shared" si="213"/>
        <v>1714.31</v>
      </c>
      <c r="Z102" s="36">
        <f t="shared" si="214"/>
        <v>28423.259799999996</v>
      </c>
      <c r="AA102" s="52"/>
      <c r="AB102" s="43">
        <f t="shared" si="215"/>
        <v>0</v>
      </c>
      <c r="AC102" s="30"/>
      <c r="AD102" s="43"/>
      <c r="AE102" s="30">
        <f t="shared" si="216"/>
        <v>0</v>
      </c>
      <c r="AF102" s="47">
        <f t="shared" si="217"/>
        <v>0</v>
      </c>
      <c r="AG102" s="30">
        <f t="shared" si="218"/>
        <v>1714.31</v>
      </c>
      <c r="AH102" s="36">
        <f t="shared" si="219"/>
        <v>28423.259799999996</v>
      </c>
      <c r="AI102" s="52"/>
      <c r="AJ102" s="43">
        <f t="shared" si="220"/>
        <v>0</v>
      </c>
      <c r="AK102" s="30"/>
      <c r="AL102" s="43"/>
      <c r="AM102" s="30">
        <f t="shared" si="221"/>
        <v>0</v>
      </c>
      <c r="AN102" s="47">
        <f t="shared" si="222"/>
        <v>0</v>
      </c>
      <c r="AO102" s="30">
        <f t="shared" si="223"/>
        <v>1714.31</v>
      </c>
      <c r="AP102" s="36">
        <f t="shared" si="224"/>
        <v>28423.259799999996</v>
      </c>
    </row>
    <row r="103" spans="1:42" ht="14.25" customHeight="1" x14ac:dyDescent="0.25">
      <c r="A103" s="92" t="s">
        <v>695</v>
      </c>
      <c r="B103" s="12" t="s">
        <v>185</v>
      </c>
      <c r="C103" s="11" t="s">
        <v>26</v>
      </c>
      <c r="D103" s="11" t="s">
        <v>186</v>
      </c>
      <c r="E103" s="13" t="s">
        <v>24</v>
      </c>
      <c r="F103" s="12">
        <v>1889.68</v>
      </c>
      <c r="G103" s="14">
        <v>19.38</v>
      </c>
      <c r="H103" s="14">
        <v>23.73</v>
      </c>
      <c r="I103" s="14">
        <v>44842.1</v>
      </c>
      <c r="J103" s="28">
        <v>3.2007209136331191E-2</v>
      </c>
      <c r="K103" s="186"/>
      <c r="L103" s="186"/>
      <c r="M103" s="186"/>
      <c r="N103" s="186"/>
      <c r="O103" s="30"/>
      <c r="P103" s="43">
        <f t="shared" si="206"/>
        <v>0</v>
      </c>
      <c r="Q103" s="30">
        <f>O103</f>
        <v>0</v>
      </c>
      <c r="R103" s="25">
        <f t="shared" si="207"/>
        <v>0</v>
      </c>
      <c r="S103" s="30">
        <f t="shared" si="208"/>
        <v>1889.68</v>
      </c>
      <c r="T103" s="36">
        <f t="shared" si="209"/>
        <v>44842.106400000004</v>
      </c>
      <c r="U103" s="30"/>
      <c r="V103" s="43">
        <f t="shared" si="210"/>
        <v>0</v>
      </c>
      <c r="W103" s="30">
        <f t="shared" si="211"/>
        <v>0</v>
      </c>
      <c r="X103" s="47">
        <f t="shared" si="212"/>
        <v>0</v>
      </c>
      <c r="Y103" s="30">
        <f t="shared" si="213"/>
        <v>1889.68</v>
      </c>
      <c r="Z103" s="36">
        <f t="shared" si="214"/>
        <v>44842.106400000004</v>
      </c>
      <c r="AA103" s="52"/>
      <c r="AB103" s="43">
        <f t="shared" si="215"/>
        <v>0</v>
      </c>
      <c r="AC103" s="30"/>
      <c r="AD103" s="43"/>
      <c r="AE103" s="30">
        <f t="shared" si="216"/>
        <v>0</v>
      </c>
      <c r="AF103" s="47">
        <f t="shared" si="217"/>
        <v>0</v>
      </c>
      <c r="AG103" s="30">
        <f t="shared" si="218"/>
        <v>1889.68</v>
      </c>
      <c r="AH103" s="36">
        <f t="shared" si="219"/>
        <v>44842.106400000004</v>
      </c>
      <c r="AI103" s="52"/>
      <c r="AJ103" s="43">
        <f t="shared" si="220"/>
        <v>0</v>
      </c>
      <c r="AK103" s="30"/>
      <c r="AL103" s="43"/>
      <c r="AM103" s="30">
        <f t="shared" si="221"/>
        <v>0</v>
      </c>
      <c r="AN103" s="47">
        <f t="shared" si="222"/>
        <v>0</v>
      </c>
      <c r="AO103" s="30">
        <f t="shared" si="223"/>
        <v>1889.68</v>
      </c>
      <c r="AP103" s="36">
        <f t="shared" si="224"/>
        <v>44842.106400000004</v>
      </c>
    </row>
    <row r="104" spans="1:42" ht="14.25" customHeight="1" x14ac:dyDescent="0.25">
      <c r="A104" s="92" t="s">
        <v>696</v>
      </c>
      <c r="B104" s="12" t="s">
        <v>187</v>
      </c>
      <c r="C104" s="11" t="s">
        <v>26</v>
      </c>
      <c r="D104" s="11" t="s">
        <v>188</v>
      </c>
      <c r="E104" s="13" t="s">
        <v>116</v>
      </c>
      <c r="F104" s="12">
        <v>213.8</v>
      </c>
      <c r="G104" s="14">
        <v>15.4</v>
      </c>
      <c r="H104" s="14">
        <v>18.86</v>
      </c>
      <c r="I104" s="14">
        <v>4032.26</v>
      </c>
      <c r="J104" s="28">
        <v>2.8781299072091365E-3</v>
      </c>
      <c r="K104" s="186"/>
      <c r="L104" s="186"/>
      <c r="M104" s="186"/>
      <c r="N104" s="186"/>
      <c r="O104" s="30"/>
      <c r="P104" s="43">
        <f t="shared" si="206"/>
        <v>0</v>
      </c>
      <c r="Q104" s="30">
        <f>O104</f>
        <v>0</v>
      </c>
      <c r="R104" s="25">
        <f t="shared" si="207"/>
        <v>0</v>
      </c>
      <c r="S104" s="30">
        <f t="shared" si="208"/>
        <v>213.8</v>
      </c>
      <c r="T104" s="36">
        <f t="shared" si="209"/>
        <v>4032.268</v>
      </c>
      <c r="U104" s="30"/>
      <c r="V104" s="43">
        <f t="shared" si="210"/>
        <v>0</v>
      </c>
      <c r="W104" s="30">
        <f t="shared" si="211"/>
        <v>0</v>
      </c>
      <c r="X104" s="47">
        <f t="shared" si="212"/>
        <v>0</v>
      </c>
      <c r="Y104" s="30">
        <f t="shared" si="213"/>
        <v>213.8</v>
      </c>
      <c r="Z104" s="36">
        <f t="shared" si="214"/>
        <v>4032.268</v>
      </c>
      <c r="AA104" s="52"/>
      <c r="AB104" s="43">
        <f t="shared" si="215"/>
        <v>0</v>
      </c>
      <c r="AC104" s="30"/>
      <c r="AD104" s="43"/>
      <c r="AE104" s="30">
        <f t="shared" si="216"/>
        <v>0</v>
      </c>
      <c r="AF104" s="47">
        <f t="shared" si="217"/>
        <v>0</v>
      </c>
      <c r="AG104" s="30">
        <f t="shared" si="218"/>
        <v>213.8</v>
      </c>
      <c r="AH104" s="36">
        <f t="shared" si="219"/>
        <v>4032.268</v>
      </c>
      <c r="AI104" s="52"/>
      <c r="AJ104" s="43">
        <f t="shared" si="220"/>
        <v>0</v>
      </c>
      <c r="AK104" s="30"/>
      <c r="AL104" s="43"/>
      <c r="AM104" s="30">
        <f t="shared" si="221"/>
        <v>0</v>
      </c>
      <c r="AN104" s="47">
        <f t="shared" si="222"/>
        <v>0</v>
      </c>
      <c r="AO104" s="30">
        <f t="shared" si="223"/>
        <v>213.8</v>
      </c>
      <c r="AP104" s="36">
        <f t="shared" si="224"/>
        <v>4032.268</v>
      </c>
    </row>
    <row r="105" spans="1:42" ht="14.25" customHeight="1" x14ac:dyDescent="0.25">
      <c r="A105" s="91" t="s">
        <v>189</v>
      </c>
      <c r="B105" s="8"/>
      <c r="C105" s="8"/>
      <c r="D105" s="8" t="s">
        <v>190</v>
      </c>
      <c r="E105" s="8"/>
      <c r="F105" s="9"/>
      <c r="G105" s="8"/>
      <c r="H105" s="8"/>
      <c r="I105" s="10">
        <v>7332.25</v>
      </c>
      <c r="J105" s="27">
        <v>5.2335831548893643E-3</v>
      </c>
      <c r="K105" s="185"/>
      <c r="L105" s="185"/>
      <c r="M105" s="185"/>
      <c r="N105" s="185"/>
      <c r="O105" s="32"/>
      <c r="P105" s="44"/>
      <c r="Q105" s="22"/>
      <c r="R105" s="22"/>
      <c r="S105" s="32"/>
      <c r="T105" s="37">
        <f>T106</f>
        <v>7332.2536</v>
      </c>
      <c r="U105" s="32"/>
      <c r="V105" s="44"/>
      <c r="W105" s="32"/>
      <c r="X105" s="48"/>
      <c r="Y105" s="32"/>
      <c r="Z105" s="37">
        <f>Z106</f>
        <v>3688.5595600000011</v>
      </c>
      <c r="AA105" s="53"/>
      <c r="AB105" s="44"/>
      <c r="AC105" s="32"/>
      <c r="AD105" s="44"/>
      <c r="AE105" s="32"/>
      <c r="AF105" s="48"/>
      <c r="AG105" s="32"/>
      <c r="AH105" s="37">
        <f>AH106</f>
        <v>3688.5595600000011</v>
      </c>
      <c r="AI105" s="53"/>
      <c r="AJ105" s="44"/>
      <c r="AK105" s="32"/>
      <c r="AL105" s="44"/>
      <c r="AM105" s="32"/>
      <c r="AN105" s="48"/>
      <c r="AO105" s="32"/>
      <c r="AP105" s="37">
        <f>AP106</f>
        <v>3688.5595600000011</v>
      </c>
    </row>
    <row r="106" spans="1:42" ht="14.25" customHeight="1" x14ac:dyDescent="0.25">
      <c r="A106" s="92" t="s">
        <v>697</v>
      </c>
      <c r="B106" s="12" t="s">
        <v>191</v>
      </c>
      <c r="C106" s="11" t="s">
        <v>29</v>
      </c>
      <c r="D106" s="11" t="s">
        <v>192</v>
      </c>
      <c r="E106" s="13" t="s">
        <v>24</v>
      </c>
      <c r="F106" s="12">
        <v>463.48</v>
      </c>
      <c r="G106" s="14">
        <v>12.92</v>
      </c>
      <c r="H106" s="14">
        <v>15.82</v>
      </c>
      <c r="I106" s="14">
        <v>7332.25</v>
      </c>
      <c r="J106" s="28">
        <v>5.2335831548893643E-3</v>
      </c>
      <c r="K106" s="186"/>
      <c r="L106" s="186"/>
      <c r="M106" s="186"/>
      <c r="N106" s="186"/>
      <c r="O106" s="30"/>
      <c r="P106" s="43">
        <f>O106*H106</f>
        <v>0</v>
      </c>
      <c r="Q106" s="30">
        <f>O106</f>
        <v>0</v>
      </c>
      <c r="R106" s="25">
        <f>Q106/F106</f>
        <v>0</v>
      </c>
      <c r="S106" s="30">
        <f>F106-Q106</f>
        <v>463.48</v>
      </c>
      <c r="T106" s="36">
        <f>S106*H106</f>
        <v>7332.2536</v>
      </c>
      <c r="U106" s="97">
        <f>'MEMORIA DE CALCULO'!H432</f>
        <v>230.32199999999995</v>
      </c>
      <c r="V106" s="43">
        <f>U106*H106</f>
        <v>3643.6940399999994</v>
      </c>
      <c r="W106" s="30">
        <f>Q106+U106</f>
        <v>230.32199999999995</v>
      </c>
      <c r="X106" s="47">
        <f>W106/$F$8</f>
        <v>1.308647727272727</v>
      </c>
      <c r="Y106" s="30">
        <f t="shared" ref="Y106" si="226">F106-W106</f>
        <v>233.15800000000007</v>
      </c>
      <c r="Z106" s="36">
        <f>Y106*H106</f>
        <v>3688.5595600000011</v>
      </c>
      <c r="AA106" s="52"/>
      <c r="AB106" s="43">
        <f>AA106*H106</f>
        <v>0</v>
      </c>
      <c r="AC106" s="30"/>
      <c r="AD106" s="43"/>
      <c r="AE106" s="30">
        <f>W106+AC106</f>
        <v>230.32199999999995</v>
      </c>
      <c r="AF106" s="47">
        <f>AE106/$F$8</f>
        <v>1.308647727272727</v>
      </c>
      <c r="AG106" s="30">
        <f t="shared" ref="AG106" si="227">F106-AE106</f>
        <v>233.15800000000007</v>
      </c>
      <c r="AH106" s="36">
        <f>AG106*H106</f>
        <v>3688.5595600000011</v>
      </c>
      <c r="AI106" s="52"/>
      <c r="AJ106" s="43">
        <f t="shared" ref="AJ106" si="228">AI106*T106</f>
        <v>0</v>
      </c>
      <c r="AK106" s="30"/>
      <c r="AL106" s="43"/>
      <c r="AM106" s="30">
        <f t="shared" ref="AM106" si="229">AE106+AK106</f>
        <v>230.32199999999995</v>
      </c>
      <c r="AN106" s="47">
        <f t="shared" ref="AN106" si="230">AM106/$F$8</f>
        <v>1.308647727272727</v>
      </c>
      <c r="AO106" s="30">
        <f t="shared" ref="AO106" si="231">F106-AM106</f>
        <v>233.15800000000007</v>
      </c>
      <c r="AP106" s="36">
        <f>AO106*H106</f>
        <v>3688.5595600000011</v>
      </c>
    </row>
    <row r="107" spans="1:42" ht="14.25" customHeight="1" x14ac:dyDescent="0.25">
      <c r="A107" s="91" t="s">
        <v>193</v>
      </c>
      <c r="B107" s="8"/>
      <c r="C107" s="8"/>
      <c r="D107" s="8" t="s">
        <v>194</v>
      </c>
      <c r="E107" s="8"/>
      <c r="F107" s="9"/>
      <c r="G107" s="8"/>
      <c r="H107" s="8"/>
      <c r="I107" s="10">
        <v>154110.93</v>
      </c>
      <c r="J107" s="27">
        <v>0.11000066381156316</v>
      </c>
      <c r="K107" s="185"/>
      <c r="L107" s="185"/>
      <c r="M107" s="185"/>
      <c r="N107" s="185"/>
      <c r="O107" s="32"/>
      <c r="P107" s="44"/>
      <c r="Q107" s="22"/>
      <c r="R107" s="22"/>
      <c r="S107" s="32"/>
      <c r="T107" s="37">
        <f>SUM(T108:T115)</f>
        <v>154110.97410000002</v>
      </c>
      <c r="U107" s="32"/>
      <c r="V107" s="44"/>
      <c r="W107" s="32"/>
      <c r="X107" s="48"/>
      <c r="Y107" s="32"/>
      <c r="Z107" s="37">
        <f>SUM(Z108:Z115)</f>
        <v>154110.97410000002</v>
      </c>
      <c r="AA107" s="53"/>
      <c r="AB107" s="44"/>
      <c r="AC107" s="32"/>
      <c r="AD107" s="44"/>
      <c r="AE107" s="32"/>
      <c r="AF107" s="48"/>
      <c r="AG107" s="32"/>
      <c r="AH107" s="37">
        <f>SUM(AH108:AH115)</f>
        <v>154110.97410000002</v>
      </c>
      <c r="AI107" s="53"/>
      <c r="AJ107" s="44"/>
      <c r="AK107" s="32"/>
      <c r="AL107" s="44"/>
      <c r="AM107" s="32"/>
      <c r="AN107" s="48"/>
      <c r="AO107" s="32"/>
      <c r="AP107" s="37">
        <f>SUM(AP108:AP115)</f>
        <v>154110.97410000002</v>
      </c>
    </row>
    <row r="108" spans="1:42" ht="39" customHeight="1" x14ac:dyDescent="0.25">
      <c r="A108" s="92" t="s">
        <v>698</v>
      </c>
      <c r="B108" s="12" t="s">
        <v>195</v>
      </c>
      <c r="C108" s="11" t="s">
        <v>26</v>
      </c>
      <c r="D108" s="11" t="s">
        <v>196</v>
      </c>
      <c r="E108" s="13" t="s">
        <v>24</v>
      </c>
      <c r="F108" s="12">
        <v>1969.41</v>
      </c>
      <c r="G108" s="14">
        <v>3.25</v>
      </c>
      <c r="H108" s="14">
        <v>3.98</v>
      </c>
      <c r="I108" s="14">
        <v>7838.25</v>
      </c>
      <c r="J108" s="28">
        <v>5.5947537473233404E-3</v>
      </c>
      <c r="K108" s="186"/>
      <c r="L108" s="186"/>
      <c r="M108" s="186"/>
      <c r="N108" s="186"/>
      <c r="O108" s="30"/>
      <c r="P108" s="43">
        <f t="shared" ref="P108:P115" si="232">O108*H108</f>
        <v>0</v>
      </c>
      <c r="Q108" s="30">
        <f>O108</f>
        <v>0</v>
      </c>
      <c r="R108" s="25">
        <f t="shared" ref="R108:R115" si="233">Q108/F108</f>
        <v>0</v>
      </c>
      <c r="S108" s="30">
        <f t="shared" ref="S108:S115" si="234">F108-Q108</f>
        <v>1969.41</v>
      </c>
      <c r="T108" s="36">
        <f t="shared" ref="T108:T115" si="235">S108*H108</f>
        <v>7838.2518</v>
      </c>
      <c r="U108" s="30"/>
      <c r="V108" s="43">
        <f t="shared" ref="V108:V115" si="236">U108*H108</f>
        <v>0</v>
      </c>
      <c r="W108" s="30">
        <f t="shared" ref="W108:W115" si="237">Q108+U108</f>
        <v>0</v>
      </c>
      <c r="X108" s="47">
        <f t="shared" ref="X108:X115" si="238">W108/$F$8</f>
        <v>0</v>
      </c>
      <c r="Y108" s="30">
        <f t="shared" ref="Y108:Y115" si="239">F108-W108</f>
        <v>1969.41</v>
      </c>
      <c r="Z108" s="36">
        <f t="shared" ref="Z108:Z115" si="240">Y108*H108</f>
        <v>7838.2518</v>
      </c>
      <c r="AA108" s="52"/>
      <c r="AB108" s="43">
        <f t="shared" ref="AB108:AB115" si="241">AA108*H108</f>
        <v>0</v>
      </c>
      <c r="AC108" s="30"/>
      <c r="AD108" s="43"/>
      <c r="AE108" s="30">
        <f t="shared" ref="AE108:AE115" si="242">W108+AC108</f>
        <v>0</v>
      </c>
      <c r="AF108" s="47">
        <f t="shared" ref="AF108:AF115" si="243">AE108/$F$8</f>
        <v>0</v>
      </c>
      <c r="AG108" s="30">
        <f t="shared" ref="AG108:AG115" si="244">F108-AE108</f>
        <v>1969.41</v>
      </c>
      <c r="AH108" s="36">
        <f t="shared" ref="AH108:AH115" si="245">AG108*H108</f>
        <v>7838.2518</v>
      </c>
      <c r="AI108" s="52"/>
      <c r="AJ108" s="43">
        <f t="shared" ref="AJ108:AJ115" si="246">AI108*T108</f>
        <v>0</v>
      </c>
      <c r="AK108" s="30"/>
      <c r="AL108" s="43"/>
      <c r="AM108" s="30">
        <f t="shared" ref="AM108:AM115" si="247">AE108+AK108</f>
        <v>0</v>
      </c>
      <c r="AN108" s="47">
        <f t="shared" ref="AN108:AN115" si="248">AM108/$F$8</f>
        <v>0</v>
      </c>
      <c r="AO108" s="30">
        <f t="shared" ref="AO108:AO115" si="249">F108-AM108</f>
        <v>1969.41</v>
      </c>
      <c r="AP108" s="36">
        <f t="shared" ref="AP108:AP115" si="250">AO108*H108</f>
        <v>7838.2518</v>
      </c>
    </row>
    <row r="109" spans="1:42" ht="14.25" customHeight="1" x14ac:dyDescent="0.25">
      <c r="A109" s="92" t="s">
        <v>699</v>
      </c>
      <c r="B109" s="12" t="s">
        <v>197</v>
      </c>
      <c r="C109" s="11" t="s">
        <v>26</v>
      </c>
      <c r="D109" s="11" t="s">
        <v>198</v>
      </c>
      <c r="E109" s="13" t="s">
        <v>24</v>
      </c>
      <c r="F109" s="12">
        <v>579.57000000000005</v>
      </c>
      <c r="G109" s="14">
        <v>5.34</v>
      </c>
      <c r="H109" s="14">
        <v>6.53</v>
      </c>
      <c r="I109" s="14">
        <v>3784.59</v>
      </c>
      <c r="J109" s="28">
        <v>2.7013490364025698E-3</v>
      </c>
      <c r="K109" s="186"/>
      <c r="L109" s="186"/>
      <c r="M109" s="186"/>
      <c r="N109" s="186"/>
      <c r="O109" s="30"/>
      <c r="P109" s="43">
        <f t="shared" si="232"/>
        <v>0</v>
      </c>
      <c r="Q109" s="30">
        <f>O109</f>
        <v>0</v>
      </c>
      <c r="R109" s="25">
        <f t="shared" si="233"/>
        <v>0</v>
      </c>
      <c r="S109" s="30">
        <f t="shared" si="234"/>
        <v>579.57000000000005</v>
      </c>
      <c r="T109" s="36">
        <f t="shared" si="235"/>
        <v>3784.5921000000003</v>
      </c>
      <c r="U109" s="30"/>
      <c r="V109" s="43">
        <f t="shared" si="236"/>
        <v>0</v>
      </c>
      <c r="W109" s="30">
        <f t="shared" si="237"/>
        <v>0</v>
      </c>
      <c r="X109" s="47">
        <f t="shared" si="238"/>
        <v>0</v>
      </c>
      <c r="Y109" s="30">
        <f t="shared" si="239"/>
        <v>579.57000000000005</v>
      </c>
      <c r="Z109" s="36">
        <f t="shared" si="240"/>
        <v>3784.5921000000003</v>
      </c>
      <c r="AA109" s="52"/>
      <c r="AB109" s="43">
        <f t="shared" si="241"/>
        <v>0</v>
      </c>
      <c r="AC109" s="30"/>
      <c r="AD109" s="43"/>
      <c r="AE109" s="30">
        <f t="shared" si="242"/>
        <v>0</v>
      </c>
      <c r="AF109" s="47">
        <f t="shared" si="243"/>
        <v>0</v>
      </c>
      <c r="AG109" s="30">
        <f t="shared" si="244"/>
        <v>579.57000000000005</v>
      </c>
      <c r="AH109" s="36">
        <f t="shared" si="245"/>
        <v>3784.5921000000003</v>
      </c>
      <c r="AI109" s="52"/>
      <c r="AJ109" s="43">
        <f t="shared" si="246"/>
        <v>0</v>
      </c>
      <c r="AK109" s="30"/>
      <c r="AL109" s="43"/>
      <c r="AM109" s="30">
        <f t="shared" si="247"/>
        <v>0</v>
      </c>
      <c r="AN109" s="47">
        <f t="shared" si="248"/>
        <v>0</v>
      </c>
      <c r="AO109" s="30">
        <f t="shared" si="249"/>
        <v>579.57000000000005</v>
      </c>
      <c r="AP109" s="36">
        <f t="shared" si="250"/>
        <v>3784.5921000000003</v>
      </c>
    </row>
    <row r="110" spans="1:42" ht="64.5" customHeight="1" x14ac:dyDescent="0.25">
      <c r="A110" s="92" t="s">
        <v>700</v>
      </c>
      <c r="B110" s="12" t="s">
        <v>199</v>
      </c>
      <c r="C110" s="11" t="s">
        <v>26</v>
      </c>
      <c r="D110" s="11" t="s">
        <v>200</v>
      </c>
      <c r="E110" s="13" t="s">
        <v>24</v>
      </c>
      <c r="F110" s="12">
        <v>1969.41</v>
      </c>
      <c r="G110" s="14">
        <v>21.09</v>
      </c>
      <c r="H110" s="14">
        <v>25.82</v>
      </c>
      <c r="I110" s="14">
        <v>50850.16</v>
      </c>
      <c r="J110" s="28">
        <v>3.6295617416131333E-2</v>
      </c>
      <c r="K110" s="186"/>
      <c r="L110" s="186"/>
      <c r="M110" s="186"/>
      <c r="N110" s="186"/>
      <c r="O110" s="30"/>
      <c r="P110" s="43">
        <f t="shared" si="232"/>
        <v>0</v>
      </c>
      <c r="Q110" s="30">
        <f t="shared" ref="Q110:Q112" si="251">O110</f>
        <v>0</v>
      </c>
      <c r="R110" s="25">
        <f t="shared" si="233"/>
        <v>0</v>
      </c>
      <c r="S110" s="30">
        <f t="shared" si="234"/>
        <v>1969.41</v>
      </c>
      <c r="T110" s="36">
        <f t="shared" si="235"/>
        <v>50850.1662</v>
      </c>
      <c r="U110" s="30"/>
      <c r="V110" s="43">
        <f t="shared" si="236"/>
        <v>0</v>
      </c>
      <c r="W110" s="30">
        <f t="shared" si="237"/>
        <v>0</v>
      </c>
      <c r="X110" s="47">
        <f t="shared" si="238"/>
        <v>0</v>
      </c>
      <c r="Y110" s="30">
        <f t="shared" si="239"/>
        <v>1969.41</v>
      </c>
      <c r="Z110" s="36">
        <f t="shared" si="240"/>
        <v>50850.1662</v>
      </c>
      <c r="AA110" s="52"/>
      <c r="AB110" s="43">
        <f t="shared" si="241"/>
        <v>0</v>
      </c>
      <c r="AC110" s="30"/>
      <c r="AD110" s="43"/>
      <c r="AE110" s="30">
        <f t="shared" si="242"/>
        <v>0</v>
      </c>
      <c r="AF110" s="47">
        <f t="shared" si="243"/>
        <v>0</v>
      </c>
      <c r="AG110" s="30">
        <f t="shared" si="244"/>
        <v>1969.41</v>
      </c>
      <c r="AH110" s="36">
        <f t="shared" si="245"/>
        <v>50850.1662</v>
      </c>
      <c r="AI110" s="52"/>
      <c r="AJ110" s="43">
        <f t="shared" si="246"/>
        <v>0</v>
      </c>
      <c r="AK110" s="30"/>
      <c r="AL110" s="43"/>
      <c r="AM110" s="30">
        <f t="shared" si="247"/>
        <v>0</v>
      </c>
      <c r="AN110" s="47">
        <f t="shared" si="248"/>
        <v>0</v>
      </c>
      <c r="AO110" s="30">
        <f t="shared" si="249"/>
        <v>1969.41</v>
      </c>
      <c r="AP110" s="36">
        <f t="shared" si="250"/>
        <v>50850.1662</v>
      </c>
    </row>
    <row r="111" spans="1:42" ht="64.5" customHeight="1" x14ac:dyDescent="0.25">
      <c r="A111" s="92" t="s">
        <v>701</v>
      </c>
      <c r="B111" s="12" t="s">
        <v>201</v>
      </c>
      <c r="C111" s="11" t="s">
        <v>26</v>
      </c>
      <c r="D111" s="11" t="s">
        <v>202</v>
      </c>
      <c r="E111" s="13" t="s">
        <v>24</v>
      </c>
      <c r="F111" s="12">
        <v>1307.77</v>
      </c>
      <c r="G111" s="14">
        <v>18.010000000000002</v>
      </c>
      <c r="H111" s="14">
        <v>22.05</v>
      </c>
      <c r="I111" s="14">
        <v>28836.32</v>
      </c>
      <c r="J111" s="28">
        <v>2.0582669521770163E-2</v>
      </c>
      <c r="K111" s="186"/>
      <c r="L111" s="186"/>
      <c r="M111" s="186"/>
      <c r="N111" s="186"/>
      <c r="O111" s="30"/>
      <c r="P111" s="43">
        <f t="shared" si="232"/>
        <v>0</v>
      </c>
      <c r="Q111" s="30">
        <f t="shared" si="251"/>
        <v>0</v>
      </c>
      <c r="R111" s="25">
        <f t="shared" si="233"/>
        <v>0</v>
      </c>
      <c r="S111" s="30">
        <f t="shared" si="234"/>
        <v>1307.77</v>
      </c>
      <c r="T111" s="36">
        <f t="shared" si="235"/>
        <v>28836.3285</v>
      </c>
      <c r="U111" s="30"/>
      <c r="V111" s="43">
        <f t="shared" si="236"/>
        <v>0</v>
      </c>
      <c r="W111" s="30">
        <f t="shared" si="237"/>
        <v>0</v>
      </c>
      <c r="X111" s="47">
        <f t="shared" si="238"/>
        <v>0</v>
      </c>
      <c r="Y111" s="30">
        <f t="shared" si="239"/>
        <v>1307.77</v>
      </c>
      <c r="Z111" s="36">
        <f t="shared" si="240"/>
        <v>28836.3285</v>
      </c>
      <c r="AA111" s="52"/>
      <c r="AB111" s="43">
        <f t="shared" si="241"/>
        <v>0</v>
      </c>
      <c r="AC111" s="30"/>
      <c r="AD111" s="43"/>
      <c r="AE111" s="30">
        <f t="shared" si="242"/>
        <v>0</v>
      </c>
      <c r="AF111" s="47">
        <f t="shared" si="243"/>
        <v>0</v>
      </c>
      <c r="AG111" s="30">
        <f t="shared" si="244"/>
        <v>1307.77</v>
      </c>
      <c r="AH111" s="36">
        <f t="shared" si="245"/>
        <v>28836.3285</v>
      </c>
      <c r="AI111" s="52"/>
      <c r="AJ111" s="43">
        <f t="shared" si="246"/>
        <v>0</v>
      </c>
      <c r="AK111" s="30"/>
      <c r="AL111" s="43"/>
      <c r="AM111" s="30">
        <f t="shared" si="247"/>
        <v>0</v>
      </c>
      <c r="AN111" s="47">
        <f t="shared" si="248"/>
        <v>0</v>
      </c>
      <c r="AO111" s="30">
        <f t="shared" si="249"/>
        <v>1307.77</v>
      </c>
      <c r="AP111" s="36">
        <f t="shared" si="250"/>
        <v>28836.3285</v>
      </c>
    </row>
    <row r="112" spans="1:42" ht="64.5" customHeight="1" x14ac:dyDescent="0.25">
      <c r="A112" s="92" t="s">
        <v>702</v>
      </c>
      <c r="B112" s="12" t="s">
        <v>201</v>
      </c>
      <c r="C112" s="11" t="s">
        <v>26</v>
      </c>
      <c r="D112" s="11" t="s">
        <v>202</v>
      </c>
      <c r="E112" s="13" t="s">
        <v>24</v>
      </c>
      <c r="F112" s="12">
        <v>579.57000000000005</v>
      </c>
      <c r="G112" s="14">
        <v>18.010000000000002</v>
      </c>
      <c r="H112" s="14">
        <v>22.05</v>
      </c>
      <c r="I112" s="14">
        <v>12779.51</v>
      </c>
      <c r="J112" s="28">
        <v>9.1217059243397566E-3</v>
      </c>
      <c r="K112" s="186"/>
      <c r="L112" s="186"/>
      <c r="M112" s="186"/>
      <c r="N112" s="186"/>
      <c r="O112" s="30"/>
      <c r="P112" s="43">
        <f t="shared" si="232"/>
        <v>0</v>
      </c>
      <c r="Q112" s="30">
        <f t="shared" si="251"/>
        <v>0</v>
      </c>
      <c r="R112" s="25">
        <f t="shared" si="233"/>
        <v>0</v>
      </c>
      <c r="S112" s="30">
        <f t="shared" si="234"/>
        <v>579.57000000000005</v>
      </c>
      <c r="T112" s="36">
        <f t="shared" si="235"/>
        <v>12779.518500000002</v>
      </c>
      <c r="U112" s="30"/>
      <c r="V112" s="43">
        <f t="shared" si="236"/>
        <v>0</v>
      </c>
      <c r="W112" s="30">
        <f t="shared" si="237"/>
        <v>0</v>
      </c>
      <c r="X112" s="47">
        <f t="shared" si="238"/>
        <v>0</v>
      </c>
      <c r="Y112" s="30">
        <f t="shared" si="239"/>
        <v>579.57000000000005</v>
      </c>
      <c r="Z112" s="36">
        <f t="shared" si="240"/>
        <v>12779.518500000002</v>
      </c>
      <c r="AA112" s="52"/>
      <c r="AB112" s="43">
        <f t="shared" si="241"/>
        <v>0</v>
      </c>
      <c r="AC112" s="30"/>
      <c r="AD112" s="43"/>
      <c r="AE112" s="30">
        <f t="shared" si="242"/>
        <v>0</v>
      </c>
      <c r="AF112" s="47">
        <f t="shared" si="243"/>
        <v>0</v>
      </c>
      <c r="AG112" s="30">
        <f t="shared" si="244"/>
        <v>579.57000000000005</v>
      </c>
      <c r="AH112" s="36">
        <f t="shared" si="245"/>
        <v>12779.518500000002</v>
      </c>
      <c r="AI112" s="52"/>
      <c r="AJ112" s="43">
        <f t="shared" si="246"/>
        <v>0</v>
      </c>
      <c r="AK112" s="30"/>
      <c r="AL112" s="43"/>
      <c r="AM112" s="30">
        <f t="shared" si="247"/>
        <v>0</v>
      </c>
      <c r="AN112" s="47">
        <f t="shared" si="248"/>
        <v>0</v>
      </c>
      <c r="AO112" s="30">
        <f t="shared" si="249"/>
        <v>579.57000000000005</v>
      </c>
      <c r="AP112" s="36">
        <f t="shared" si="250"/>
        <v>12779.518500000002</v>
      </c>
    </row>
    <row r="113" spans="1:42" ht="14.25" customHeight="1" x14ac:dyDescent="0.25">
      <c r="A113" s="92" t="s">
        <v>703</v>
      </c>
      <c r="B113" s="12" t="s">
        <v>203</v>
      </c>
      <c r="C113" s="11" t="s">
        <v>26</v>
      </c>
      <c r="D113" s="11" t="s">
        <v>204</v>
      </c>
      <c r="E113" s="13" t="s">
        <v>24</v>
      </c>
      <c r="F113" s="12">
        <v>439.53</v>
      </c>
      <c r="G113" s="14">
        <v>52.46</v>
      </c>
      <c r="H113" s="14">
        <v>64.239999999999995</v>
      </c>
      <c r="I113" s="14">
        <v>28235.4</v>
      </c>
      <c r="J113" s="28">
        <v>2.0153747323340472E-2</v>
      </c>
      <c r="K113" s="186"/>
      <c r="L113" s="186"/>
      <c r="M113" s="186"/>
      <c r="N113" s="186"/>
      <c r="O113" s="30"/>
      <c r="P113" s="43">
        <f t="shared" si="232"/>
        <v>0</v>
      </c>
      <c r="Q113" s="30">
        <f>O113</f>
        <v>0</v>
      </c>
      <c r="R113" s="25">
        <f t="shared" si="233"/>
        <v>0</v>
      </c>
      <c r="S113" s="30">
        <f t="shared" si="234"/>
        <v>439.53</v>
      </c>
      <c r="T113" s="36">
        <f t="shared" si="235"/>
        <v>28235.407199999994</v>
      </c>
      <c r="U113" s="30"/>
      <c r="V113" s="43">
        <f t="shared" si="236"/>
        <v>0</v>
      </c>
      <c r="W113" s="30">
        <f t="shared" si="237"/>
        <v>0</v>
      </c>
      <c r="X113" s="47">
        <f t="shared" si="238"/>
        <v>0</v>
      </c>
      <c r="Y113" s="30">
        <f t="shared" si="239"/>
        <v>439.53</v>
      </c>
      <c r="Z113" s="36">
        <f t="shared" si="240"/>
        <v>28235.407199999994</v>
      </c>
      <c r="AA113" s="52"/>
      <c r="AB113" s="43">
        <f t="shared" si="241"/>
        <v>0</v>
      </c>
      <c r="AC113" s="30"/>
      <c r="AD113" s="43"/>
      <c r="AE113" s="30">
        <f t="shared" si="242"/>
        <v>0</v>
      </c>
      <c r="AF113" s="47">
        <f t="shared" si="243"/>
        <v>0</v>
      </c>
      <c r="AG113" s="30">
        <f t="shared" si="244"/>
        <v>439.53</v>
      </c>
      <c r="AH113" s="36">
        <f t="shared" si="245"/>
        <v>28235.407199999994</v>
      </c>
      <c r="AI113" s="52"/>
      <c r="AJ113" s="43">
        <f t="shared" si="246"/>
        <v>0</v>
      </c>
      <c r="AK113" s="30"/>
      <c r="AL113" s="43"/>
      <c r="AM113" s="30">
        <f t="shared" si="247"/>
        <v>0</v>
      </c>
      <c r="AN113" s="47">
        <f t="shared" si="248"/>
        <v>0</v>
      </c>
      <c r="AO113" s="30">
        <f t="shared" si="249"/>
        <v>439.53</v>
      </c>
      <c r="AP113" s="36">
        <f t="shared" si="250"/>
        <v>28235.407199999994</v>
      </c>
    </row>
    <row r="114" spans="1:42" ht="39" customHeight="1" x14ac:dyDescent="0.25">
      <c r="A114" s="92" t="s">
        <v>704</v>
      </c>
      <c r="B114" s="12" t="s">
        <v>205</v>
      </c>
      <c r="C114" s="11" t="s">
        <v>26</v>
      </c>
      <c r="D114" s="11" t="s">
        <v>206</v>
      </c>
      <c r="E114" s="13" t="s">
        <v>24</v>
      </c>
      <c r="F114" s="12">
        <v>222.12</v>
      </c>
      <c r="G114" s="14">
        <v>51.11</v>
      </c>
      <c r="H114" s="14">
        <v>62.59</v>
      </c>
      <c r="I114" s="14">
        <v>13902.49</v>
      </c>
      <c r="J114" s="28">
        <v>9.9232619557458965E-3</v>
      </c>
      <c r="K114" s="186"/>
      <c r="L114" s="186"/>
      <c r="M114" s="186"/>
      <c r="N114" s="186"/>
      <c r="O114" s="30"/>
      <c r="P114" s="43">
        <f t="shared" si="232"/>
        <v>0</v>
      </c>
      <c r="Q114" s="30">
        <f>O114</f>
        <v>0</v>
      </c>
      <c r="R114" s="25">
        <f t="shared" si="233"/>
        <v>0</v>
      </c>
      <c r="S114" s="30">
        <f t="shared" si="234"/>
        <v>222.12</v>
      </c>
      <c r="T114" s="36">
        <f t="shared" si="235"/>
        <v>13902.490800000001</v>
      </c>
      <c r="U114" s="30"/>
      <c r="V114" s="43">
        <f t="shared" si="236"/>
        <v>0</v>
      </c>
      <c r="W114" s="30">
        <f t="shared" si="237"/>
        <v>0</v>
      </c>
      <c r="X114" s="47">
        <f t="shared" si="238"/>
        <v>0</v>
      </c>
      <c r="Y114" s="30">
        <f t="shared" si="239"/>
        <v>222.12</v>
      </c>
      <c r="Z114" s="36">
        <f t="shared" si="240"/>
        <v>13902.490800000001</v>
      </c>
      <c r="AA114" s="52"/>
      <c r="AB114" s="43">
        <f t="shared" si="241"/>
        <v>0</v>
      </c>
      <c r="AC114" s="30"/>
      <c r="AD114" s="43"/>
      <c r="AE114" s="30">
        <f t="shared" si="242"/>
        <v>0</v>
      </c>
      <c r="AF114" s="47">
        <f t="shared" si="243"/>
        <v>0</v>
      </c>
      <c r="AG114" s="30">
        <f t="shared" si="244"/>
        <v>222.12</v>
      </c>
      <c r="AH114" s="36">
        <f t="shared" si="245"/>
        <v>13902.490800000001</v>
      </c>
      <c r="AI114" s="52"/>
      <c r="AJ114" s="43">
        <f t="shared" si="246"/>
        <v>0</v>
      </c>
      <c r="AK114" s="30"/>
      <c r="AL114" s="43"/>
      <c r="AM114" s="30">
        <f t="shared" si="247"/>
        <v>0</v>
      </c>
      <c r="AN114" s="47">
        <f t="shared" si="248"/>
        <v>0</v>
      </c>
      <c r="AO114" s="30">
        <f t="shared" si="249"/>
        <v>222.12</v>
      </c>
      <c r="AP114" s="36">
        <f t="shared" si="250"/>
        <v>13902.490800000001</v>
      </c>
    </row>
    <row r="115" spans="1:42" ht="25.5" customHeight="1" x14ac:dyDescent="0.25">
      <c r="A115" s="92" t="s">
        <v>705</v>
      </c>
      <c r="B115" s="12" t="s">
        <v>207</v>
      </c>
      <c r="C115" s="11" t="s">
        <v>26</v>
      </c>
      <c r="D115" s="11" t="s">
        <v>208</v>
      </c>
      <c r="E115" s="13" t="s">
        <v>116</v>
      </c>
      <c r="F115" s="12">
        <v>257.14999999999998</v>
      </c>
      <c r="G115" s="14">
        <v>25.04</v>
      </c>
      <c r="H115" s="14">
        <v>30.66</v>
      </c>
      <c r="I115" s="14">
        <v>7884.21</v>
      </c>
      <c r="J115" s="28">
        <v>5.6275588865096361E-3</v>
      </c>
      <c r="K115" s="186"/>
      <c r="L115" s="186"/>
      <c r="M115" s="186"/>
      <c r="N115" s="186"/>
      <c r="O115" s="30"/>
      <c r="P115" s="43">
        <f t="shared" si="232"/>
        <v>0</v>
      </c>
      <c r="Q115" s="30">
        <f>O115</f>
        <v>0</v>
      </c>
      <c r="R115" s="25">
        <f t="shared" si="233"/>
        <v>0</v>
      </c>
      <c r="S115" s="30">
        <f t="shared" si="234"/>
        <v>257.14999999999998</v>
      </c>
      <c r="T115" s="36">
        <f t="shared" si="235"/>
        <v>7884.2189999999991</v>
      </c>
      <c r="U115" s="30"/>
      <c r="V115" s="43">
        <f t="shared" si="236"/>
        <v>0</v>
      </c>
      <c r="W115" s="30">
        <f t="shared" si="237"/>
        <v>0</v>
      </c>
      <c r="X115" s="47">
        <f t="shared" si="238"/>
        <v>0</v>
      </c>
      <c r="Y115" s="30">
        <f t="shared" si="239"/>
        <v>257.14999999999998</v>
      </c>
      <c r="Z115" s="36">
        <f t="shared" si="240"/>
        <v>7884.2189999999991</v>
      </c>
      <c r="AA115" s="52"/>
      <c r="AB115" s="43">
        <f t="shared" si="241"/>
        <v>0</v>
      </c>
      <c r="AC115" s="30"/>
      <c r="AD115" s="43"/>
      <c r="AE115" s="30">
        <f t="shared" si="242"/>
        <v>0</v>
      </c>
      <c r="AF115" s="47">
        <f t="shared" si="243"/>
        <v>0</v>
      </c>
      <c r="AG115" s="30">
        <f t="shared" si="244"/>
        <v>257.14999999999998</v>
      </c>
      <c r="AH115" s="36">
        <f t="shared" si="245"/>
        <v>7884.2189999999991</v>
      </c>
      <c r="AI115" s="52"/>
      <c r="AJ115" s="43">
        <f t="shared" si="246"/>
        <v>0</v>
      </c>
      <c r="AK115" s="30"/>
      <c r="AL115" s="43"/>
      <c r="AM115" s="30">
        <f t="shared" si="247"/>
        <v>0</v>
      </c>
      <c r="AN115" s="47">
        <f t="shared" si="248"/>
        <v>0</v>
      </c>
      <c r="AO115" s="30">
        <f t="shared" si="249"/>
        <v>257.14999999999998</v>
      </c>
      <c r="AP115" s="36">
        <f t="shared" si="250"/>
        <v>7884.2189999999991</v>
      </c>
    </row>
    <row r="116" spans="1:42" ht="14.25" customHeight="1" x14ac:dyDescent="0.25">
      <c r="A116" s="91" t="s">
        <v>209</v>
      </c>
      <c r="B116" s="8"/>
      <c r="C116" s="8"/>
      <c r="D116" s="8" t="s">
        <v>210</v>
      </c>
      <c r="E116" s="8"/>
      <c r="F116" s="9"/>
      <c r="G116" s="8"/>
      <c r="H116" s="8"/>
      <c r="I116" s="10">
        <v>127667.35</v>
      </c>
      <c r="J116" s="27">
        <v>9.1125874375446114E-2</v>
      </c>
      <c r="K116" s="185"/>
      <c r="L116" s="185"/>
      <c r="M116" s="185"/>
      <c r="N116" s="185"/>
      <c r="O116" s="32"/>
      <c r="P116" s="44"/>
      <c r="Q116" s="22"/>
      <c r="R116" s="22"/>
      <c r="S116" s="32"/>
      <c r="T116" s="37"/>
      <c r="U116" s="32"/>
      <c r="V116" s="44"/>
      <c r="W116" s="32"/>
      <c r="X116" s="48"/>
      <c r="Y116" s="32"/>
      <c r="Z116" s="37"/>
      <c r="AA116" s="53"/>
      <c r="AB116" s="44"/>
      <c r="AC116" s="32"/>
      <c r="AD116" s="44"/>
      <c r="AE116" s="32"/>
      <c r="AF116" s="48"/>
      <c r="AG116" s="32"/>
      <c r="AH116" s="37"/>
      <c r="AI116" s="53"/>
      <c r="AJ116" s="44"/>
      <c r="AK116" s="32"/>
      <c r="AL116" s="44"/>
      <c r="AM116" s="32"/>
      <c r="AN116" s="48"/>
      <c r="AO116" s="32"/>
      <c r="AP116" s="37"/>
    </row>
    <row r="117" spans="1:42" ht="14.25" customHeight="1" x14ac:dyDescent="0.25">
      <c r="A117" s="91" t="s">
        <v>211</v>
      </c>
      <c r="B117" s="8"/>
      <c r="C117" s="8"/>
      <c r="D117" s="8" t="s">
        <v>212</v>
      </c>
      <c r="E117" s="8"/>
      <c r="F117" s="9"/>
      <c r="G117" s="8"/>
      <c r="H117" s="8"/>
      <c r="I117" s="10">
        <v>102170.13</v>
      </c>
      <c r="J117" s="27">
        <v>7.2926573875802994E-2</v>
      </c>
      <c r="K117" s="185"/>
      <c r="L117" s="185"/>
      <c r="M117" s="185"/>
      <c r="N117" s="185"/>
      <c r="O117" s="32"/>
      <c r="P117" s="44"/>
      <c r="Q117" s="22"/>
      <c r="R117" s="22"/>
      <c r="S117" s="32"/>
      <c r="T117" s="37">
        <f>SUM(T118:T124)</f>
        <v>102170.15240000001</v>
      </c>
      <c r="U117" s="32"/>
      <c r="V117" s="44"/>
      <c r="W117" s="32"/>
      <c r="X117" s="48"/>
      <c r="Y117" s="32"/>
      <c r="Z117" s="37">
        <f>SUM(Z118:Z124)</f>
        <v>102170.15240000001</v>
      </c>
      <c r="AA117" s="53"/>
      <c r="AB117" s="44"/>
      <c r="AC117" s="32"/>
      <c r="AD117" s="44"/>
      <c r="AE117" s="32"/>
      <c r="AF117" s="48"/>
      <c r="AG117" s="32"/>
      <c r="AH117" s="37">
        <f>SUM(AH118:AH124)</f>
        <v>102170.15240000001</v>
      </c>
      <c r="AI117" s="53"/>
      <c r="AJ117" s="44"/>
      <c r="AK117" s="32"/>
      <c r="AL117" s="44"/>
      <c r="AM117" s="32"/>
      <c r="AN117" s="48"/>
      <c r="AO117" s="32"/>
      <c r="AP117" s="37">
        <f>SUM(AP118:AP124)</f>
        <v>102170.15240000001</v>
      </c>
    </row>
    <row r="118" spans="1:42" ht="51.75" customHeight="1" x14ac:dyDescent="0.25">
      <c r="A118" s="92" t="s">
        <v>706</v>
      </c>
      <c r="B118" s="12" t="s">
        <v>213</v>
      </c>
      <c r="C118" s="11" t="s">
        <v>26</v>
      </c>
      <c r="D118" s="11" t="s">
        <v>214</v>
      </c>
      <c r="E118" s="13" t="s">
        <v>24</v>
      </c>
      <c r="F118" s="12">
        <v>814.48</v>
      </c>
      <c r="G118" s="14">
        <v>27.28</v>
      </c>
      <c r="H118" s="14">
        <v>33.4</v>
      </c>
      <c r="I118" s="14">
        <v>27203.63</v>
      </c>
      <c r="J118" s="28">
        <v>1.9417294789436119E-2</v>
      </c>
      <c r="K118" s="186"/>
      <c r="L118" s="186"/>
      <c r="M118" s="186"/>
      <c r="N118" s="186"/>
      <c r="O118" s="30"/>
      <c r="P118" s="43">
        <f t="shared" ref="P118:P124" si="252">O118*H118</f>
        <v>0</v>
      </c>
      <c r="Q118" s="30">
        <f>O118</f>
        <v>0</v>
      </c>
      <c r="R118" s="25">
        <f t="shared" ref="R118:R124" si="253">Q118/F118</f>
        <v>0</v>
      </c>
      <c r="S118" s="30">
        <f t="shared" ref="S118:S124" si="254">F118-Q118</f>
        <v>814.48</v>
      </c>
      <c r="T118" s="36">
        <f t="shared" ref="T118:T124" si="255">S118*H118</f>
        <v>27203.631999999998</v>
      </c>
      <c r="U118" s="30"/>
      <c r="V118" s="43">
        <f t="shared" ref="V118:V124" si="256">U118*H118</f>
        <v>0</v>
      </c>
      <c r="W118" s="30">
        <f t="shared" ref="W118:W124" si="257">Q118+U118</f>
        <v>0</v>
      </c>
      <c r="X118" s="47">
        <f t="shared" ref="X118:X124" si="258">W118/$F$8</f>
        <v>0</v>
      </c>
      <c r="Y118" s="30">
        <f t="shared" ref="Y118:Y124" si="259">F118-W118</f>
        <v>814.48</v>
      </c>
      <c r="Z118" s="36">
        <f t="shared" ref="Z118:Z124" si="260">Y118*H118</f>
        <v>27203.631999999998</v>
      </c>
      <c r="AA118" s="52"/>
      <c r="AB118" s="43">
        <f t="shared" ref="AB118:AB124" si="261">AA118*H118</f>
        <v>0</v>
      </c>
      <c r="AC118" s="30"/>
      <c r="AD118" s="43"/>
      <c r="AE118" s="30">
        <f t="shared" ref="AE118:AE124" si="262">W118+AC118</f>
        <v>0</v>
      </c>
      <c r="AF118" s="47">
        <f t="shared" ref="AF118:AF124" si="263">AE118/$F$8</f>
        <v>0</v>
      </c>
      <c r="AG118" s="30">
        <f t="shared" ref="AG118:AG124" si="264">F118-AE118</f>
        <v>814.48</v>
      </c>
      <c r="AH118" s="36">
        <f t="shared" ref="AH118:AH124" si="265">AG118*H118</f>
        <v>27203.631999999998</v>
      </c>
      <c r="AI118" s="52"/>
      <c r="AJ118" s="43">
        <f t="shared" ref="AJ118:AJ124" si="266">AI118*T118</f>
        <v>0</v>
      </c>
      <c r="AK118" s="30"/>
      <c r="AL118" s="43"/>
      <c r="AM118" s="30">
        <f t="shared" ref="AM118:AM124" si="267">AE118+AK118</f>
        <v>0</v>
      </c>
      <c r="AN118" s="47">
        <f t="shared" ref="AN118:AN124" si="268">AM118/$F$8</f>
        <v>0</v>
      </c>
      <c r="AO118" s="30">
        <f t="shared" ref="AO118:AO124" si="269">F118-AM118</f>
        <v>814.48</v>
      </c>
      <c r="AP118" s="36">
        <f t="shared" ref="AP118:AP124" si="270">AO118*H118</f>
        <v>27203.631999999998</v>
      </c>
    </row>
    <row r="119" spans="1:42" ht="26.25" customHeight="1" x14ac:dyDescent="0.25">
      <c r="A119" s="92" t="s">
        <v>707</v>
      </c>
      <c r="B119" s="12" t="s">
        <v>215</v>
      </c>
      <c r="C119" s="11" t="s">
        <v>26</v>
      </c>
      <c r="D119" s="11" t="s">
        <v>216</v>
      </c>
      <c r="E119" s="13" t="s">
        <v>24</v>
      </c>
      <c r="F119" s="12">
        <v>814.48</v>
      </c>
      <c r="G119" s="14">
        <v>24.97</v>
      </c>
      <c r="H119" s="14">
        <v>30.58</v>
      </c>
      <c r="I119" s="14">
        <v>24906.79</v>
      </c>
      <c r="J119" s="28">
        <v>1.7777865810135619E-2</v>
      </c>
      <c r="K119" s="186"/>
      <c r="L119" s="186"/>
      <c r="M119" s="186"/>
      <c r="N119" s="186"/>
      <c r="O119" s="30"/>
      <c r="P119" s="43">
        <f t="shared" si="252"/>
        <v>0</v>
      </c>
      <c r="Q119" s="30">
        <f>O119</f>
        <v>0</v>
      </c>
      <c r="R119" s="25">
        <f t="shared" si="253"/>
        <v>0</v>
      </c>
      <c r="S119" s="30">
        <f t="shared" si="254"/>
        <v>814.48</v>
      </c>
      <c r="T119" s="36">
        <f t="shared" si="255"/>
        <v>24906.7984</v>
      </c>
      <c r="U119" s="30"/>
      <c r="V119" s="43">
        <f t="shared" si="256"/>
        <v>0</v>
      </c>
      <c r="W119" s="30">
        <f t="shared" si="257"/>
        <v>0</v>
      </c>
      <c r="X119" s="47">
        <f t="shared" si="258"/>
        <v>0</v>
      </c>
      <c r="Y119" s="30">
        <f t="shared" si="259"/>
        <v>814.48</v>
      </c>
      <c r="Z119" s="36">
        <f t="shared" si="260"/>
        <v>24906.7984</v>
      </c>
      <c r="AA119" s="52"/>
      <c r="AB119" s="43">
        <f t="shared" si="261"/>
        <v>0</v>
      </c>
      <c r="AC119" s="30"/>
      <c r="AD119" s="43"/>
      <c r="AE119" s="30">
        <f t="shared" si="262"/>
        <v>0</v>
      </c>
      <c r="AF119" s="47">
        <f t="shared" si="263"/>
        <v>0</v>
      </c>
      <c r="AG119" s="30">
        <f t="shared" si="264"/>
        <v>814.48</v>
      </c>
      <c r="AH119" s="36">
        <f t="shared" si="265"/>
        <v>24906.7984</v>
      </c>
      <c r="AI119" s="52"/>
      <c r="AJ119" s="43">
        <f t="shared" si="266"/>
        <v>0</v>
      </c>
      <c r="AK119" s="30"/>
      <c r="AL119" s="43"/>
      <c r="AM119" s="30">
        <f t="shared" si="267"/>
        <v>0</v>
      </c>
      <c r="AN119" s="47">
        <f t="shared" si="268"/>
        <v>0</v>
      </c>
      <c r="AO119" s="30">
        <f t="shared" si="269"/>
        <v>814.48</v>
      </c>
      <c r="AP119" s="36">
        <f t="shared" si="270"/>
        <v>24906.7984</v>
      </c>
    </row>
    <row r="120" spans="1:42" ht="39" customHeight="1" x14ac:dyDescent="0.25">
      <c r="A120" s="92" t="s">
        <v>708</v>
      </c>
      <c r="B120" s="12" t="s">
        <v>217</v>
      </c>
      <c r="C120" s="11" t="s">
        <v>26</v>
      </c>
      <c r="D120" s="11" t="s">
        <v>218</v>
      </c>
      <c r="E120" s="13" t="s">
        <v>24</v>
      </c>
      <c r="F120" s="12">
        <v>65.28</v>
      </c>
      <c r="G120" s="14">
        <v>41.24</v>
      </c>
      <c r="H120" s="14">
        <v>50.5</v>
      </c>
      <c r="I120" s="14">
        <v>3296.64</v>
      </c>
      <c r="J120" s="28">
        <v>2.3530620985010705E-3</v>
      </c>
      <c r="K120" s="186"/>
      <c r="L120" s="186"/>
      <c r="M120" s="186"/>
      <c r="N120" s="186"/>
      <c r="O120" s="30"/>
      <c r="P120" s="43">
        <f t="shared" si="252"/>
        <v>0</v>
      </c>
      <c r="Q120" s="30">
        <f t="shared" ref="Q120:Q122" si="271">O120</f>
        <v>0</v>
      </c>
      <c r="R120" s="25">
        <f t="shared" si="253"/>
        <v>0</v>
      </c>
      <c r="S120" s="30">
        <f t="shared" si="254"/>
        <v>65.28</v>
      </c>
      <c r="T120" s="36">
        <f t="shared" si="255"/>
        <v>3296.64</v>
      </c>
      <c r="U120" s="30"/>
      <c r="V120" s="43">
        <f t="shared" si="256"/>
        <v>0</v>
      </c>
      <c r="W120" s="30">
        <f t="shared" si="257"/>
        <v>0</v>
      </c>
      <c r="X120" s="47">
        <f t="shared" si="258"/>
        <v>0</v>
      </c>
      <c r="Y120" s="30">
        <f t="shared" si="259"/>
        <v>65.28</v>
      </c>
      <c r="Z120" s="36">
        <f t="shared" si="260"/>
        <v>3296.64</v>
      </c>
      <c r="AA120" s="52"/>
      <c r="AB120" s="43">
        <f t="shared" si="261"/>
        <v>0</v>
      </c>
      <c r="AC120" s="30"/>
      <c r="AD120" s="43"/>
      <c r="AE120" s="30">
        <f t="shared" si="262"/>
        <v>0</v>
      </c>
      <c r="AF120" s="47">
        <f t="shared" si="263"/>
        <v>0</v>
      </c>
      <c r="AG120" s="30">
        <f t="shared" si="264"/>
        <v>65.28</v>
      </c>
      <c r="AH120" s="36">
        <f t="shared" si="265"/>
        <v>3296.64</v>
      </c>
      <c r="AI120" s="52"/>
      <c r="AJ120" s="43">
        <f t="shared" si="266"/>
        <v>0</v>
      </c>
      <c r="AK120" s="30"/>
      <c r="AL120" s="43"/>
      <c r="AM120" s="30">
        <f t="shared" si="267"/>
        <v>0</v>
      </c>
      <c r="AN120" s="47">
        <f t="shared" si="268"/>
        <v>0</v>
      </c>
      <c r="AO120" s="30">
        <f t="shared" si="269"/>
        <v>65.28</v>
      </c>
      <c r="AP120" s="36">
        <f t="shared" si="270"/>
        <v>3296.64</v>
      </c>
    </row>
    <row r="121" spans="1:42" ht="39" customHeight="1" x14ac:dyDescent="0.25">
      <c r="A121" s="92" t="s">
        <v>709</v>
      </c>
      <c r="B121" s="12" t="s">
        <v>217</v>
      </c>
      <c r="C121" s="11" t="s">
        <v>26</v>
      </c>
      <c r="D121" s="11" t="s">
        <v>218</v>
      </c>
      <c r="E121" s="13" t="s">
        <v>24</v>
      </c>
      <c r="F121" s="12">
        <v>749.2</v>
      </c>
      <c r="G121" s="14">
        <v>41.24</v>
      </c>
      <c r="H121" s="14">
        <v>50.5</v>
      </c>
      <c r="I121" s="14">
        <v>37834.6</v>
      </c>
      <c r="J121" s="28">
        <v>2.7005424696645252E-2</v>
      </c>
      <c r="K121" s="186"/>
      <c r="L121" s="186"/>
      <c r="M121" s="186"/>
      <c r="N121" s="186"/>
      <c r="O121" s="30"/>
      <c r="P121" s="43">
        <f t="shared" si="252"/>
        <v>0</v>
      </c>
      <c r="Q121" s="30">
        <f t="shared" si="271"/>
        <v>0</v>
      </c>
      <c r="R121" s="25">
        <f t="shared" si="253"/>
        <v>0</v>
      </c>
      <c r="S121" s="30">
        <f t="shared" si="254"/>
        <v>749.2</v>
      </c>
      <c r="T121" s="36">
        <f t="shared" si="255"/>
        <v>37834.600000000006</v>
      </c>
      <c r="U121" s="30"/>
      <c r="V121" s="43">
        <f t="shared" si="256"/>
        <v>0</v>
      </c>
      <c r="W121" s="30">
        <f t="shared" si="257"/>
        <v>0</v>
      </c>
      <c r="X121" s="47">
        <f t="shared" si="258"/>
        <v>0</v>
      </c>
      <c r="Y121" s="30">
        <f t="shared" si="259"/>
        <v>749.2</v>
      </c>
      <c r="Z121" s="36">
        <f t="shared" si="260"/>
        <v>37834.600000000006</v>
      </c>
      <c r="AA121" s="52"/>
      <c r="AB121" s="43">
        <f t="shared" si="261"/>
        <v>0</v>
      </c>
      <c r="AC121" s="30"/>
      <c r="AD121" s="43"/>
      <c r="AE121" s="30">
        <f t="shared" si="262"/>
        <v>0</v>
      </c>
      <c r="AF121" s="47">
        <f t="shared" si="263"/>
        <v>0</v>
      </c>
      <c r="AG121" s="30">
        <f t="shared" si="264"/>
        <v>749.2</v>
      </c>
      <c r="AH121" s="36">
        <f t="shared" si="265"/>
        <v>37834.600000000006</v>
      </c>
      <c r="AI121" s="52"/>
      <c r="AJ121" s="43">
        <f t="shared" si="266"/>
        <v>0</v>
      </c>
      <c r="AK121" s="30"/>
      <c r="AL121" s="43"/>
      <c r="AM121" s="30">
        <f t="shared" si="267"/>
        <v>0</v>
      </c>
      <c r="AN121" s="47">
        <f t="shared" si="268"/>
        <v>0</v>
      </c>
      <c r="AO121" s="30">
        <f t="shared" si="269"/>
        <v>749.2</v>
      </c>
      <c r="AP121" s="36">
        <f t="shared" si="270"/>
        <v>37834.600000000006</v>
      </c>
    </row>
    <row r="122" spans="1:42" ht="14.25" customHeight="1" x14ac:dyDescent="0.25">
      <c r="A122" s="92" t="s">
        <v>710</v>
      </c>
      <c r="B122" s="12" t="s">
        <v>219</v>
      </c>
      <c r="C122" s="11" t="s">
        <v>29</v>
      </c>
      <c r="D122" s="11" t="s">
        <v>220</v>
      </c>
      <c r="E122" s="13" t="s">
        <v>24</v>
      </c>
      <c r="F122" s="12">
        <v>40.950000000000003</v>
      </c>
      <c r="G122" s="14">
        <v>138.13999999999999</v>
      </c>
      <c r="H122" s="14">
        <v>169.18</v>
      </c>
      <c r="I122" s="14">
        <v>6927.92</v>
      </c>
      <c r="J122" s="28">
        <v>4.9449821556031403E-3</v>
      </c>
      <c r="K122" s="186"/>
      <c r="L122" s="186"/>
      <c r="M122" s="186"/>
      <c r="N122" s="186"/>
      <c r="O122" s="30"/>
      <c r="P122" s="43">
        <f t="shared" si="252"/>
        <v>0</v>
      </c>
      <c r="Q122" s="30">
        <f t="shared" si="271"/>
        <v>0</v>
      </c>
      <c r="R122" s="25">
        <f t="shared" si="253"/>
        <v>0</v>
      </c>
      <c r="S122" s="30">
        <f t="shared" si="254"/>
        <v>40.950000000000003</v>
      </c>
      <c r="T122" s="36">
        <f t="shared" si="255"/>
        <v>6927.9210000000012</v>
      </c>
      <c r="U122" s="30"/>
      <c r="V122" s="43">
        <f t="shared" si="256"/>
        <v>0</v>
      </c>
      <c r="W122" s="30">
        <f t="shared" si="257"/>
        <v>0</v>
      </c>
      <c r="X122" s="47">
        <f t="shared" si="258"/>
        <v>0</v>
      </c>
      <c r="Y122" s="30">
        <f t="shared" si="259"/>
        <v>40.950000000000003</v>
      </c>
      <c r="Z122" s="36">
        <f t="shared" si="260"/>
        <v>6927.9210000000012</v>
      </c>
      <c r="AA122" s="52"/>
      <c r="AB122" s="43">
        <f t="shared" si="261"/>
        <v>0</v>
      </c>
      <c r="AC122" s="30"/>
      <c r="AD122" s="43"/>
      <c r="AE122" s="30">
        <f t="shared" si="262"/>
        <v>0</v>
      </c>
      <c r="AF122" s="47">
        <f t="shared" si="263"/>
        <v>0</v>
      </c>
      <c r="AG122" s="30">
        <f t="shared" si="264"/>
        <v>40.950000000000003</v>
      </c>
      <c r="AH122" s="36">
        <f t="shared" si="265"/>
        <v>6927.9210000000012</v>
      </c>
      <c r="AI122" s="52"/>
      <c r="AJ122" s="43">
        <f t="shared" si="266"/>
        <v>0</v>
      </c>
      <c r="AK122" s="30"/>
      <c r="AL122" s="43"/>
      <c r="AM122" s="30">
        <f t="shared" si="267"/>
        <v>0</v>
      </c>
      <c r="AN122" s="47">
        <f t="shared" si="268"/>
        <v>0</v>
      </c>
      <c r="AO122" s="30">
        <f t="shared" si="269"/>
        <v>40.950000000000003</v>
      </c>
      <c r="AP122" s="36">
        <f t="shared" si="270"/>
        <v>6927.9210000000012</v>
      </c>
    </row>
    <row r="123" spans="1:42" ht="25.5" customHeight="1" x14ac:dyDescent="0.25">
      <c r="A123" s="92" t="s">
        <v>711</v>
      </c>
      <c r="B123" s="12" t="s">
        <v>221</v>
      </c>
      <c r="C123" s="11" t="s">
        <v>29</v>
      </c>
      <c r="D123" s="11" t="s">
        <v>222</v>
      </c>
      <c r="E123" s="13" t="s">
        <v>24</v>
      </c>
      <c r="F123" s="12">
        <v>5.4</v>
      </c>
      <c r="G123" s="14">
        <v>95.53</v>
      </c>
      <c r="H123" s="14">
        <v>116.99</v>
      </c>
      <c r="I123" s="14">
        <v>631.74</v>
      </c>
      <c r="J123" s="28">
        <v>4.5092077087794432E-4</v>
      </c>
      <c r="K123" s="186"/>
      <c r="L123" s="186"/>
      <c r="M123" s="186"/>
      <c r="N123" s="186"/>
      <c r="O123" s="30"/>
      <c r="P123" s="43">
        <f t="shared" si="252"/>
        <v>0</v>
      </c>
      <c r="Q123" s="30">
        <f>O123</f>
        <v>0</v>
      </c>
      <c r="R123" s="25">
        <f t="shared" si="253"/>
        <v>0</v>
      </c>
      <c r="S123" s="30">
        <f t="shared" si="254"/>
        <v>5.4</v>
      </c>
      <c r="T123" s="36">
        <f t="shared" si="255"/>
        <v>631.74599999999998</v>
      </c>
      <c r="U123" s="30"/>
      <c r="V123" s="43">
        <f t="shared" si="256"/>
        <v>0</v>
      </c>
      <c r="W123" s="30">
        <f t="shared" si="257"/>
        <v>0</v>
      </c>
      <c r="X123" s="47">
        <f t="shared" si="258"/>
        <v>0</v>
      </c>
      <c r="Y123" s="30">
        <f t="shared" si="259"/>
        <v>5.4</v>
      </c>
      <c r="Z123" s="36">
        <f t="shared" si="260"/>
        <v>631.74599999999998</v>
      </c>
      <c r="AA123" s="52"/>
      <c r="AB123" s="43">
        <f t="shared" si="261"/>
        <v>0</v>
      </c>
      <c r="AC123" s="30"/>
      <c r="AD123" s="43"/>
      <c r="AE123" s="30">
        <f t="shared" si="262"/>
        <v>0</v>
      </c>
      <c r="AF123" s="47">
        <f t="shared" si="263"/>
        <v>0</v>
      </c>
      <c r="AG123" s="30">
        <f t="shared" si="264"/>
        <v>5.4</v>
      </c>
      <c r="AH123" s="36">
        <f t="shared" si="265"/>
        <v>631.74599999999998</v>
      </c>
      <c r="AI123" s="52"/>
      <c r="AJ123" s="43">
        <f t="shared" si="266"/>
        <v>0</v>
      </c>
      <c r="AK123" s="30"/>
      <c r="AL123" s="43"/>
      <c r="AM123" s="30">
        <f t="shared" si="267"/>
        <v>0</v>
      </c>
      <c r="AN123" s="47">
        <f t="shared" si="268"/>
        <v>0</v>
      </c>
      <c r="AO123" s="30">
        <f t="shared" si="269"/>
        <v>5.4</v>
      </c>
      <c r="AP123" s="36">
        <f t="shared" si="270"/>
        <v>631.74599999999998</v>
      </c>
    </row>
    <row r="124" spans="1:42" ht="14.25" customHeight="1" x14ac:dyDescent="0.25">
      <c r="A124" s="92" t="s">
        <v>712</v>
      </c>
      <c r="B124" s="12" t="s">
        <v>223</v>
      </c>
      <c r="C124" s="11" t="s">
        <v>29</v>
      </c>
      <c r="D124" s="11" t="s">
        <v>224</v>
      </c>
      <c r="E124" s="13" t="s">
        <v>116</v>
      </c>
      <c r="F124" s="12">
        <v>18.5</v>
      </c>
      <c r="G124" s="14">
        <v>60.42</v>
      </c>
      <c r="H124" s="14">
        <v>73.989999999999995</v>
      </c>
      <c r="I124" s="14">
        <v>1368.81</v>
      </c>
      <c r="J124" s="28">
        <v>9.7702355460385442E-4</v>
      </c>
      <c r="K124" s="186"/>
      <c r="L124" s="186"/>
      <c r="M124" s="186"/>
      <c r="N124" s="186"/>
      <c r="O124" s="30"/>
      <c r="P124" s="43">
        <f t="shared" si="252"/>
        <v>0</v>
      </c>
      <c r="Q124" s="30">
        <f>O124</f>
        <v>0</v>
      </c>
      <c r="R124" s="25">
        <f t="shared" si="253"/>
        <v>0</v>
      </c>
      <c r="S124" s="30">
        <f t="shared" si="254"/>
        <v>18.5</v>
      </c>
      <c r="T124" s="36">
        <f t="shared" si="255"/>
        <v>1368.8149999999998</v>
      </c>
      <c r="U124" s="30"/>
      <c r="V124" s="43">
        <f t="shared" si="256"/>
        <v>0</v>
      </c>
      <c r="W124" s="30">
        <f t="shared" si="257"/>
        <v>0</v>
      </c>
      <c r="X124" s="47">
        <f t="shared" si="258"/>
        <v>0</v>
      </c>
      <c r="Y124" s="30">
        <f t="shared" si="259"/>
        <v>18.5</v>
      </c>
      <c r="Z124" s="36">
        <f t="shared" si="260"/>
        <v>1368.8149999999998</v>
      </c>
      <c r="AA124" s="52"/>
      <c r="AB124" s="43">
        <f t="shared" si="261"/>
        <v>0</v>
      </c>
      <c r="AC124" s="30"/>
      <c r="AD124" s="43"/>
      <c r="AE124" s="30">
        <f t="shared" si="262"/>
        <v>0</v>
      </c>
      <c r="AF124" s="47">
        <f t="shared" si="263"/>
        <v>0</v>
      </c>
      <c r="AG124" s="30">
        <f t="shared" si="264"/>
        <v>18.5</v>
      </c>
      <c r="AH124" s="36">
        <f t="shared" si="265"/>
        <v>1368.8149999999998</v>
      </c>
      <c r="AI124" s="52"/>
      <c r="AJ124" s="43">
        <f t="shared" si="266"/>
        <v>0</v>
      </c>
      <c r="AK124" s="30"/>
      <c r="AL124" s="43"/>
      <c r="AM124" s="30">
        <f t="shared" si="267"/>
        <v>0</v>
      </c>
      <c r="AN124" s="47">
        <f t="shared" si="268"/>
        <v>0</v>
      </c>
      <c r="AO124" s="30">
        <f t="shared" si="269"/>
        <v>18.5</v>
      </c>
      <c r="AP124" s="36">
        <f t="shared" si="270"/>
        <v>1368.8149999999998</v>
      </c>
    </row>
    <row r="125" spans="1:42" ht="14.25" customHeight="1" x14ac:dyDescent="0.25">
      <c r="A125" s="91" t="s">
        <v>225</v>
      </c>
      <c r="B125" s="8"/>
      <c r="C125" s="8"/>
      <c r="D125" s="8" t="s">
        <v>226</v>
      </c>
      <c r="E125" s="8"/>
      <c r="F125" s="9"/>
      <c r="G125" s="8"/>
      <c r="H125" s="8"/>
      <c r="I125" s="10">
        <v>25497.22</v>
      </c>
      <c r="J125" s="27">
        <v>1.8199300499643113E-2</v>
      </c>
      <c r="K125" s="185"/>
      <c r="L125" s="185"/>
      <c r="M125" s="185"/>
      <c r="N125" s="185"/>
      <c r="O125" s="32"/>
      <c r="P125" s="44"/>
      <c r="Q125" s="22"/>
      <c r="R125" s="22"/>
      <c r="S125" s="32"/>
      <c r="T125" s="37">
        <f>SUM(T126:T129)</f>
        <v>25497.2402</v>
      </c>
      <c r="U125" s="32"/>
      <c r="V125" s="44"/>
      <c r="W125" s="32"/>
      <c r="X125" s="48"/>
      <c r="Y125" s="32"/>
      <c r="Z125" s="37">
        <f>SUM(Z126:Z129)</f>
        <v>25497.2402</v>
      </c>
      <c r="AA125" s="53"/>
      <c r="AB125" s="44"/>
      <c r="AC125" s="32"/>
      <c r="AD125" s="44"/>
      <c r="AE125" s="32"/>
      <c r="AF125" s="48"/>
      <c r="AG125" s="32"/>
      <c r="AH125" s="37">
        <f>SUM(AH126:AH129)</f>
        <v>25497.2402</v>
      </c>
      <c r="AI125" s="53"/>
      <c r="AJ125" s="44"/>
      <c r="AK125" s="32"/>
      <c r="AL125" s="44"/>
      <c r="AM125" s="32"/>
      <c r="AN125" s="48"/>
      <c r="AO125" s="32"/>
      <c r="AP125" s="37">
        <f>SUM(AP126:AP129)</f>
        <v>25497.2402</v>
      </c>
    </row>
    <row r="126" spans="1:42" ht="39" customHeight="1" x14ac:dyDescent="0.25">
      <c r="A126" s="92" t="s">
        <v>713</v>
      </c>
      <c r="B126" s="12" t="s">
        <v>227</v>
      </c>
      <c r="C126" s="11" t="s">
        <v>26</v>
      </c>
      <c r="D126" s="11" t="s">
        <v>228</v>
      </c>
      <c r="E126" s="13" t="s">
        <v>50</v>
      </c>
      <c r="F126" s="12">
        <v>25.08</v>
      </c>
      <c r="G126" s="14">
        <v>536.34</v>
      </c>
      <c r="H126" s="14">
        <v>656.85</v>
      </c>
      <c r="I126" s="14">
        <v>16473.79</v>
      </c>
      <c r="J126" s="28">
        <v>1.1758593861527481E-2</v>
      </c>
      <c r="K126" s="186"/>
      <c r="L126" s="186"/>
      <c r="M126" s="186"/>
      <c r="N126" s="186"/>
      <c r="O126" s="30"/>
      <c r="P126" s="43">
        <f t="shared" ref="P126:P129" si="272">O126*H126</f>
        <v>0</v>
      </c>
      <c r="Q126" s="30">
        <f>O126</f>
        <v>0</v>
      </c>
      <c r="R126" s="25">
        <f>Q126/F126</f>
        <v>0</v>
      </c>
      <c r="S126" s="30">
        <f>F126-Q126</f>
        <v>25.08</v>
      </c>
      <c r="T126" s="36">
        <f>S126*H126</f>
        <v>16473.797999999999</v>
      </c>
      <c r="U126" s="30"/>
      <c r="V126" s="43">
        <f>U126*H126</f>
        <v>0</v>
      </c>
      <c r="W126" s="30">
        <f t="shared" ref="W126:W129" si="273">Q126+U126</f>
        <v>0</v>
      </c>
      <c r="X126" s="47">
        <f t="shared" ref="X126:X129" si="274">W126/$F$8</f>
        <v>0</v>
      </c>
      <c r="Y126" s="30">
        <f t="shared" ref="Y126:Y129" si="275">F126-W126</f>
        <v>25.08</v>
      </c>
      <c r="Z126" s="36">
        <f>Y126*H126</f>
        <v>16473.797999999999</v>
      </c>
      <c r="AA126" s="52"/>
      <c r="AB126" s="43">
        <f>AA126*H126</f>
        <v>0</v>
      </c>
      <c r="AC126" s="30"/>
      <c r="AD126" s="43"/>
      <c r="AE126" s="30">
        <f t="shared" ref="AE126:AE129" si="276">W126+AC126</f>
        <v>0</v>
      </c>
      <c r="AF126" s="47">
        <f t="shared" ref="AF126:AF129" si="277">AE126/$F$8</f>
        <v>0</v>
      </c>
      <c r="AG126" s="30">
        <f t="shared" ref="AG126:AG129" si="278">F126-AE126</f>
        <v>25.08</v>
      </c>
      <c r="AH126" s="36">
        <f>AG126*H126</f>
        <v>16473.797999999999</v>
      </c>
      <c r="AI126" s="52"/>
      <c r="AJ126" s="43">
        <f t="shared" ref="AJ126:AJ129" si="279">AI126*T126</f>
        <v>0</v>
      </c>
      <c r="AK126" s="30"/>
      <c r="AL126" s="43"/>
      <c r="AM126" s="30">
        <f t="shared" ref="AM126:AM129" si="280">AE126+AK126</f>
        <v>0</v>
      </c>
      <c r="AN126" s="47">
        <f t="shared" ref="AN126:AN129" si="281">AM126/$F$8</f>
        <v>0</v>
      </c>
      <c r="AO126" s="30">
        <f t="shared" ref="AO126:AO129" si="282">F126-AM126</f>
        <v>25.08</v>
      </c>
      <c r="AP126" s="36">
        <f>AO126*H126</f>
        <v>16473.797999999999</v>
      </c>
    </row>
    <row r="127" spans="1:42" ht="39" customHeight="1" x14ac:dyDescent="0.25">
      <c r="A127" s="92" t="s">
        <v>714</v>
      </c>
      <c r="B127" s="12" t="s">
        <v>229</v>
      </c>
      <c r="C127" s="11" t="s">
        <v>26</v>
      </c>
      <c r="D127" s="11" t="s">
        <v>230</v>
      </c>
      <c r="E127" s="13" t="s">
        <v>50</v>
      </c>
      <c r="F127" s="12">
        <v>11.98</v>
      </c>
      <c r="G127" s="14">
        <v>304.58</v>
      </c>
      <c r="H127" s="14">
        <v>373.01</v>
      </c>
      <c r="I127" s="14">
        <v>4468.6499999999996</v>
      </c>
      <c r="J127" s="28">
        <v>3.1896145610278374E-3</v>
      </c>
      <c r="K127" s="186"/>
      <c r="L127" s="186"/>
      <c r="M127" s="186"/>
      <c r="N127" s="186"/>
      <c r="O127" s="30"/>
      <c r="P127" s="43">
        <f t="shared" si="272"/>
        <v>0</v>
      </c>
      <c r="Q127" s="30">
        <f>O127</f>
        <v>0</v>
      </c>
      <c r="R127" s="25">
        <f>Q127/F127</f>
        <v>0</v>
      </c>
      <c r="S127" s="30">
        <f>F127-Q127</f>
        <v>11.98</v>
      </c>
      <c r="T127" s="36">
        <f>S127*H127</f>
        <v>4468.6598000000004</v>
      </c>
      <c r="U127" s="30"/>
      <c r="V127" s="43">
        <f>U127*H127</f>
        <v>0</v>
      </c>
      <c r="W127" s="30">
        <f t="shared" si="273"/>
        <v>0</v>
      </c>
      <c r="X127" s="47">
        <f t="shared" si="274"/>
        <v>0</v>
      </c>
      <c r="Y127" s="30">
        <f t="shared" si="275"/>
        <v>11.98</v>
      </c>
      <c r="Z127" s="36">
        <f>Y127*H127</f>
        <v>4468.6598000000004</v>
      </c>
      <c r="AA127" s="52"/>
      <c r="AB127" s="43">
        <f>AA127*H127</f>
        <v>0</v>
      </c>
      <c r="AC127" s="30"/>
      <c r="AD127" s="43"/>
      <c r="AE127" s="30">
        <f t="shared" si="276"/>
        <v>0</v>
      </c>
      <c r="AF127" s="47">
        <f t="shared" si="277"/>
        <v>0</v>
      </c>
      <c r="AG127" s="30">
        <f t="shared" si="278"/>
        <v>11.98</v>
      </c>
      <c r="AH127" s="36">
        <f>AG127*H127</f>
        <v>4468.6598000000004</v>
      </c>
      <c r="AI127" s="52"/>
      <c r="AJ127" s="43">
        <f t="shared" si="279"/>
        <v>0</v>
      </c>
      <c r="AK127" s="30"/>
      <c r="AL127" s="43"/>
      <c r="AM127" s="30">
        <f t="shared" si="280"/>
        <v>0</v>
      </c>
      <c r="AN127" s="47">
        <f t="shared" si="281"/>
        <v>0</v>
      </c>
      <c r="AO127" s="30">
        <f t="shared" si="282"/>
        <v>11.98</v>
      </c>
      <c r="AP127" s="36">
        <f>AO127*H127</f>
        <v>4468.6598000000004</v>
      </c>
    </row>
    <row r="128" spans="1:42" ht="14.25" customHeight="1" x14ac:dyDescent="0.25">
      <c r="A128" s="92" t="s">
        <v>715</v>
      </c>
      <c r="B128" s="12" t="s">
        <v>231</v>
      </c>
      <c r="C128" s="11" t="s">
        <v>26</v>
      </c>
      <c r="D128" s="11" t="s">
        <v>232</v>
      </c>
      <c r="E128" s="13" t="s">
        <v>116</v>
      </c>
      <c r="F128" s="12">
        <v>27.3</v>
      </c>
      <c r="G128" s="14">
        <v>22.9</v>
      </c>
      <c r="H128" s="14">
        <v>28.04</v>
      </c>
      <c r="I128" s="14">
        <v>765.49</v>
      </c>
      <c r="J128" s="28">
        <v>5.4638829407566028E-4</v>
      </c>
      <c r="K128" s="186"/>
      <c r="L128" s="186"/>
      <c r="M128" s="186"/>
      <c r="N128" s="186"/>
      <c r="O128" s="30"/>
      <c r="P128" s="43">
        <f t="shared" si="272"/>
        <v>0</v>
      </c>
      <c r="Q128" s="30">
        <f t="shared" ref="Q128:Q129" si="283">O128</f>
        <v>0</v>
      </c>
      <c r="R128" s="25">
        <f>Q128/F128</f>
        <v>0</v>
      </c>
      <c r="S128" s="30">
        <f>F128-Q128</f>
        <v>27.3</v>
      </c>
      <c r="T128" s="36">
        <f>S128*H128</f>
        <v>765.49199999999996</v>
      </c>
      <c r="U128" s="30"/>
      <c r="V128" s="43">
        <f>U128*H128</f>
        <v>0</v>
      </c>
      <c r="W128" s="30">
        <f t="shared" si="273"/>
        <v>0</v>
      </c>
      <c r="X128" s="47">
        <f t="shared" si="274"/>
        <v>0</v>
      </c>
      <c r="Y128" s="30">
        <f t="shared" si="275"/>
        <v>27.3</v>
      </c>
      <c r="Z128" s="36">
        <f>Y128*H128</f>
        <v>765.49199999999996</v>
      </c>
      <c r="AA128" s="52"/>
      <c r="AB128" s="43">
        <f>AA128*H128</f>
        <v>0</v>
      </c>
      <c r="AC128" s="30"/>
      <c r="AD128" s="43"/>
      <c r="AE128" s="30">
        <f t="shared" si="276"/>
        <v>0</v>
      </c>
      <c r="AF128" s="47">
        <f t="shared" si="277"/>
        <v>0</v>
      </c>
      <c r="AG128" s="30">
        <f t="shared" si="278"/>
        <v>27.3</v>
      </c>
      <c r="AH128" s="36">
        <f>AG128*H128</f>
        <v>765.49199999999996</v>
      </c>
      <c r="AI128" s="52"/>
      <c r="AJ128" s="43">
        <f t="shared" si="279"/>
        <v>0</v>
      </c>
      <c r="AK128" s="30"/>
      <c r="AL128" s="43"/>
      <c r="AM128" s="30">
        <f t="shared" si="280"/>
        <v>0</v>
      </c>
      <c r="AN128" s="47">
        <f t="shared" si="281"/>
        <v>0</v>
      </c>
      <c r="AO128" s="30">
        <f t="shared" si="282"/>
        <v>27.3</v>
      </c>
      <c r="AP128" s="36">
        <f>AO128*H128</f>
        <v>765.49199999999996</v>
      </c>
    </row>
    <row r="129" spans="1:42" ht="39" customHeight="1" x14ac:dyDescent="0.25">
      <c r="A129" s="92" t="s">
        <v>716</v>
      </c>
      <c r="B129" s="12" t="s">
        <v>233</v>
      </c>
      <c r="C129" s="11" t="s">
        <v>26</v>
      </c>
      <c r="D129" s="11" t="s">
        <v>234</v>
      </c>
      <c r="E129" s="13" t="s">
        <v>50</v>
      </c>
      <c r="F129" s="12">
        <v>11.28</v>
      </c>
      <c r="G129" s="14">
        <v>274.3</v>
      </c>
      <c r="H129" s="14">
        <v>335.93</v>
      </c>
      <c r="I129" s="14">
        <v>3789.29</v>
      </c>
      <c r="J129" s="28">
        <v>2.704703783012134E-3</v>
      </c>
      <c r="K129" s="186"/>
      <c r="L129" s="186"/>
      <c r="M129" s="186"/>
      <c r="N129" s="186"/>
      <c r="O129" s="30"/>
      <c r="P129" s="43">
        <f t="shared" si="272"/>
        <v>0</v>
      </c>
      <c r="Q129" s="30">
        <f t="shared" si="283"/>
        <v>0</v>
      </c>
      <c r="R129" s="25">
        <f>Q129/F129</f>
        <v>0</v>
      </c>
      <c r="S129" s="30">
        <f>F129-Q129</f>
        <v>11.28</v>
      </c>
      <c r="T129" s="36">
        <f>S129*H129</f>
        <v>3789.2903999999999</v>
      </c>
      <c r="U129" s="30"/>
      <c r="V129" s="43">
        <f>U129*H129</f>
        <v>0</v>
      </c>
      <c r="W129" s="30">
        <f t="shared" si="273"/>
        <v>0</v>
      </c>
      <c r="X129" s="47">
        <f t="shared" si="274"/>
        <v>0</v>
      </c>
      <c r="Y129" s="30">
        <f t="shared" si="275"/>
        <v>11.28</v>
      </c>
      <c r="Z129" s="36">
        <f>Y129*H129</f>
        <v>3789.2903999999999</v>
      </c>
      <c r="AA129" s="52"/>
      <c r="AB129" s="43">
        <f>AA129*H129</f>
        <v>0</v>
      </c>
      <c r="AC129" s="30"/>
      <c r="AD129" s="43"/>
      <c r="AE129" s="30">
        <f t="shared" si="276"/>
        <v>0</v>
      </c>
      <c r="AF129" s="47">
        <f t="shared" si="277"/>
        <v>0</v>
      </c>
      <c r="AG129" s="30">
        <f t="shared" si="278"/>
        <v>11.28</v>
      </c>
      <c r="AH129" s="36">
        <f>AG129*H129</f>
        <v>3789.2903999999999</v>
      </c>
      <c r="AI129" s="52"/>
      <c r="AJ129" s="43">
        <f t="shared" si="279"/>
        <v>0</v>
      </c>
      <c r="AK129" s="30"/>
      <c r="AL129" s="43"/>
      <c r="AM129" s="30">
        <f t="shared" si="280"/>
        <v>0</v>
      </c>
      <c r="AN129" s="47">
        <f t="shared" si="281"/>
        <v>0</v>
      </c>
      <c r="AO129" s="30">
        <f t="shared" si="282"/>
        <v>11.28</v>
      </c>
      <c r="AP129" s="36">
        <f>AO129*H129</f>
        <v>3789.2903999999999</v>
      </c>
    </row>
    <row r="130" spans="1:42" ht="14.25" customHeight="1" x14ac:dyDescent="0.25">
      <c r="A130" s="91" t="s">
        <v>235</v>
      </c>
      <c r="B130" s="8"/>
      <c r="C130" s="8"/>
      <c r="D130" s="8" t="s">
        <v>236</v>
      </c>
      <c r="E130" s="8"/>
      <c r="F130" s="9"/>
      <c r="G130" s="8"/>
      <c r="H130" s="8"/>
      <c r="I130" s="10">
        <v>45376</v>
      </c>
      <c r="J130" s="27">
        <v>3.238829407566024E-2</v>
      </c>
      <c r="K130" s="185"/>
      <c r="L130" s="185"/>
      <c r="M130" s="185"/>
      <c r="N130" s="185"/>
      <c r="O130" s="32"/>
      <c r="P130" s="44"/>
      <c r="Q130" s="22"/>
      <c r="R130" s="22"/>
      <c r="S130" s="32"/>
      <c r="T130" s="37">
        <f>SUM(T131:T137)</f>
        <v>45376.0386</v>
      </c>
      <c r="U130" s="32"/>
      <c r="V130" s="44"/>
      <c r="W130" s="32"/>
      <c r="X130" s="48"/>
      <c r="Y130" s="32"/>
      <c r="Z130" s="37">
        <f>SUM(Z131:Z137)</f>
        <v>45376.0386</v>
      </c>
      <c r="AA130" s="53"/>
      <c r="AB130" s="44"/>
      <c r="AC130" s="32"/>
      <c r="AD130" s="44"/>
      <c r="AE130" s="32"/>
      <c r="AF130" s="48"/>
      <c r="AG130" s="32"/>
      <c r="AH130" s="37">
        <f>SUM(AH131:AH137)</f>
        <v>45376.0386</v>
      </c>
      <c r="AI130" s="53"/>
      <c r="AJ130" s="44"/>
      <c r="AK130" s="32"/>
      <c r="AL130" s="44"/>
      <c r="AM130" s="32"/>
      <c r="AN130" s="48"/>
      <c r="AO130" s="32"/>
      <c r="AP130" s="37">
        <f>SUM(AP131:AP137)</f>
        <v>45376.0386</v>
      </c>
    </row>
    <row r="131" spans="1:42" ht="25.5" customHeight="1" x14ac:dyDescent="0.25">
      <c r="A131" s="92" t="s">
        <v>717</v>
      </c>
      <c r="B131" s="12" t="s">
        <v>237</v>
      </c>
      <c r="C131" s="11" t="s">
        <v>26</v>
      </c>
      <c r="D131" s="11" t="s">
        <v>238</v>
      </c>
      <c r="E131" s="13" t="s">
        <v>116</v>
      </c>
      <c r="F131" s="12">
        <v>432.55</v>
      </c>
      <c r="G131" s="14">
        <v>21.6</v>
      </c>
      <c r="H131" s="14">
        <v>26.45</v>
      </c>
      <c r="I131" s="14">
        <v>11440.94</v>
      </c>
      <c r="J131" s="28">
        <v>8.1662669521770162E-3</v>
      </c>
      <c r="K131" s="186"/>
      <c r="L131" s="186"/>
      <c r="M131" s="186"/>
      <c r="N131" s="186"/>
      <c r="O131" s="30"/>
      <c r="P131" s="43">
        <f t="shared" ref="P131:P137" si="284">O131*H131</f>
        <v>0</v>
      </c>
      <c r="Q131" s="30">
        <f>O131</f>
        <v>0</v>
      </c>
      <c r="R131" s="25">
        <f t="shared" ref="R131:R137" si="285">Q131/F131</f>
        <v>0</v>
      </c>
      <c r="S131" s="30">
        <f t="shared" ref="S131:S137" si="286">F131-Q131</f>
        <v>432.55</v>
      </c>
      <c r="T131" s="36">
        <f t="shared" ref="T131:T137" si="287">S131*H131</f>
        <v>11440.9475</v>
      </c>
      <c r="U131" s="30"/>
      <c r="V131" s="43">
        <f t="shared" ref="V131:V137" si="288">U131*H131</f>
        <v>0</v>
      </c>
      <c r="W131" s="30">
        <f>Q131+U131</f>
        <v>0</v>
      </c>
      <c r="X131" s="47">
        <f>W131/$F$8</f>
        <v>0</v>
      </c>
      <c r="Y131" s="30">
        <f t="shared" ref="Y131:Y137" si="289">F131-W131</f>
        <v>432.55</v>
      </c>
      <c r="Z131" s="36">
        <f t="shared" ref="Z131:Z137" si="290">Y131*H131</f>
        <v>11440.9475</v>
      </c>
      <c r="AA131" s="52"/>
      <c r="AB131" s="43">
        <f t="shared" ref="AB131:AB137" si="291">AA131*H131</f>
        <v>0</v>
      </c>
      <c r="AC131" s="30"/>
      <c r="AD131" s="43"/>
      <c r="AE131" s="30">
        <f>W131+AC131</f>
        <v>0</v>
      </c>
      <c r="AF131" s="47">
        <f>AE131/$F$8</f>
        <v>0</v>
      </c>
      <c r="AG131" s="30">
        <f t="shared" ref="AG131:AG137" si="292">F131-AE131</f>
        <v>432.55</v>
      </c>
      <c r="AH131" s="36">
        <f t="shared" ref="AH131:AH137" si="293">AG131*H131</f>
        <v>11440.9475</v>
      </c>
      <c r="AI131" s="52"/>
      <c r="AJ131" s="43">
        <f t="shared" ref="AJ131:AJ137" si="294">AI131*T131</f>
        <v>0</v>
      </c>
      <c r="AK131" s="30"/>
      <c r="AL131" s="43"/>
      <c r="AM131" s="30">
        <f t="shared" ref="AM131:AM137" si="295">AE131+AK131</f>
        <v>0</v>
      </c>
      <c r="AN131" s="47">
        <f t="shared" ref="AN131:AN137" si="296">AM131/$F$8</f>
        <v>0</v>
      </c>
      <c r="AO131" s="30">
        <f t="shared" ref="AO131:AO137" si="297">F131-AM131</f>
        <v>432.55</v>
      </c>
      <c r="AP131" s="36">
        <f t="shared" ref="AP131:AP137" si="298">AO131*H131</f>
        <v>11440.9475</v>
      </c>
    </row>
    <row r="132" spans="1:42" ht="25.5" customHeight="1" x14ac:dyDescent="0.25">
      <c r="A132" s="92" t="s">
        <v>718</v>
      </c>
      <c r="B132" s="12" t="s">
        <v>237</v>
      </c>
      <c r="C132" s="11" t="s">
        <v>26</v>
      </c>
      <c r="D132" s="11" t="s">
        <v>238</v>
      </c>
      <c r="E132" s="13" t="s">
        <v>116</v>
      </c>
      <c r="F132" s="12">
        <v>579.57000000000005</v>
      </c>
      <c r="G132" s="14">
        <v>21.6</v>
      </c>
      <c r="H132" s="14">
        <v>26.45</v>
      </c>
      <c r="I132" s="14">
        <v>15329.62</v>
      </c>
      <c r="J132" s="28">
        <v>1.0941912919343327E-2</v>
      </c>
      <c r="K132" s="186"/>
      <c r="L132" s="186"/>
      <c r="M132" s="186"/>
      <c r="N132" s="186"/>
      <c r="O132" s="30"/>
      <c r="P132" s="43">
        <f t="shared" si="284"/>
        <v>0</v>
      </c>
      <c r="Q132" s="30">
        <f>O132</f>
        <v>0</v>
      </c>
      <c r="R132" s="25">
        <f t="shared" si="285"/>
        <v>0</v>
      </c>
      <c r="S132" s="30">
        <f t="shared" si="286"/>
        <v>579.57000000000005</v>
      </c>
      <c r="T132" s="36">
        <f t="shared" si="287"/>
        <v>15329.6265</v>
      </c>
      <c r="U132" s="30"/>
      <c r="V132" s="43">
        <f t="shared" si="288"/>
        <v>0</v>
      </c>
      <c r="W132" s="30">
        <f>Q132+U132</f>
        <v>0</v>
      </c>
      <c r="X132" s="47">
        <f>W132/$F$8</f>
        <v>0</v>
      </c>
      <c r="Y132" s="30">
        <f t="shared" si="289"/>
        <v>579.57000000000005</v>
      </c>
      <c r="Z132" s="36">
        <f t="shared" si="290"/>
        <v>15329.6265</v>
      </c>
      <c r="AA132" s="52"/>
      <c r="AB132" s="43">
        <f t="shared" si="291"/>
        <v>0</v>
      </c>
      <c r="AC132" s="30"/>
      <c r="AD132" s="43"/>
      <c r="AE132" s="30">
        <f>W132+AC132</f>
        <v>0</v>
      </c>
      <c r="AF132" s="47">
        <f>AE132/$F$8</f>
        <v>0</v>
      </c>
      <c r="AG132" s="30">
        <f t="shared" si="292"/>
        <v>579.57000000000005</v>
      </c>
      <c r="AH132" s="36">
        <f t="shared" si="293"/>
        <v>15329.6265</v>
      </c>
      <c r="AI132" s="52"/>
      <c r="AJ132" s="43">
        <f t="shared" si="294"/>
        <v>0</v>
      </c>
      <c r="AK132" s="30"/>
      <c r="AL132" s="43"/>
      <c r="AM132" s="30">
        <f t="shared" si="295"/>
        <v>0</v>
      </c>
      <c r="AN132" s="47">
        <f t="shared" si="296"/>
        <v>0</v>
      </c>
      <c r="AO132" s="30">
        <f t="shared" si="297"/>
        <v>579.57000000000005</v>
      </c>
      <c r="AP132" s="36">
        <f t="shared" si="298"/>
        <v>15329.6265</v>
      </c>
    </row>
    <row r="133" spans="1:42" ht="25.5" customHeight="1" x14ac:dyDescent="0.25">
      <c r="A133" s="92" t="s">
        <v>719</v>
      </c>
      <c r="B133" s="12" t="s">
        <v>239</v>
      </c>
      <c r="C133" s="11" t="s">
        <v>26</v>
      </c>
      <c r="D133" s="11" t="s">
        <v>240</v>
      </c>
      <c r="E133" s="13" t="s">
        <v>24</v>
      </c>
      <c r="F133" s="12">
        <v>1307.77</v>
      </c>
      <c r="G133" s="14">
        <v>6.94</v>
      </c>
      <c r="H133" s="14">
        <v>8.49</v>
      </c>
      <c r="I133" s="14">
        <v>11102.96</v>
      </c>
      <c r="J133" s="28">
        <v>7.9250249821556026E-3</v>
      </c>
      <c r="K133" s="186"/>
      <c r="L133" s="186"/>
      <c r="M133" s="186"/>
      <c r="N133" s="186"/>
      <c r="O133" s="30"/>
      <c r="P133" s="43">
        <f t="shared" si="284"/>
        <v>0</v>
      </c>
      <c r="Q133" s="30">
        <f t="shared" ref="Q133:Q135" si="299">O133</f>
        <v>0</v>
      </c>
      <c r="R133" s="25">
        <f t="shared" si="285"/>
        <v>0</v>
      </c>
      <c r="S133" s="30">
        <f t="shared" si="286"/>
        <v>1307.77</v>
      </c>
      <c r="T133" s="36">
        <f t="shared" si="287"/>
        <v>11102.9673</v>
      </c>
      <c r="U133" s="30"/>
      <c r="V133" s="43">
        <f t="shared" si="288"/>
        <v>0</v>
      </c>
      <c r="W133" s="30">
        <f t="shared" ref="W133:W135" si="300">Q133+U133</f>
        <v>0</v>
      </c>
      <c r="X133" s="47">
        <f t="shared" ref="X133:X135" si="301">W133/$F$8</f>
        <v>0</v>
      </c>
      <c r="Y133" s="30">
        <f t="shared" si="289"/>
        <v>1307.77</v>
      </c>
      <c r="Z133" s="36">
        <f t="shared" si="290"/>
        <v>11102.9673</v>
      </c>
      <c r="AA133" s="52"/>
      <c r="AB133" s="43">
        <f t="shared" si="291"/>
        <v>0</v>
      </c>
      <c r="AC133" s="30"/>
      <c r="AD133" s="43"/>
      <c r="AE133" s="30">
        <f t="shared" ref="AE133:AE135" si="302">W133+AC133</f>
        <v>0</v>
      </c>
      <c r="AF133" s="47">
        <f t="shared" ref="AF133:AF135" si="303">AE133/$F$8</f>
        <v>0</v>
      </c>
      <c r="AG133" s="30">
        <f t="shared" si="292"/>
        <v>1307.77</v>
      </c>
      <c r="AH133" s="36">
        <f t="shared" si="293"/>
        <v>11102.9673</v>
      </c>
      <c r="AI133" s="52"/>
      <c r="AJ133" s="43">
        <f t="shared" si="294"/>
        <v>0</v>
      </c>
      <c r="AK133" s="30"/>
      <c r="AL133" s="43"/>
      <c r="AM133" s="30">
        <f t="shared" si="295"/>
        <v>0</v>
      </c>
      <c r="AN133" s="47">
        <f t="shared" si="296"/>
        <v>0</v>
      </c>
      <c r="AO133" s="30">
        <f t="shared" si="297"/>
        <v>1307.77</v>
      </c>
      <c r="AP133" s="36">
        <f t="shared" si="298"/>
        <v>11102.9673</v>
      </c>
    </row>
    <row r="134" spans="1:42" ht="25.5" customHeight="1" x14ac:dyDescent="0.25">
      <c r="A134" s="92" t="s">
        <v>720</v>
      </c>
      <c r="B134" s="12" t="s">
        <v>241</v>
      </c>
      <c r="C134" s="11" t="s">
        <v>26</v>
      </c>
      <c r="D134" s="11" t="s">
        <v>242</v>
      </c>
      <c r="E134" s="13" t="s">
        <v>24</v>
      </c>
      <c r="F134" s="12">
        <v>569.57000000000005</v>
      </c>
      <c r="G134" s="14">
        <v>8.4700000000000006</v>
      </c>
      <c r="H134" s="14">
        <v>10.37</v>
      </c>
      <c r="I134" s="14">
        <v>5906.44</v>
      </c>
      <c r="J134" s="28">
        <v>4.2158743754461096E-3</v>
      </c>
      <c r="K134" s="186"/>
      <c r="L134" s="186"/>
      <c r="M134" s="186"/>
      <c r="N134" s="186"/>
      <c r="O134" s="30"/>
      <c r="P134" s="43">
        <f t="shared" si="284"/>
        <v>0</v>
      </c>
      <c r="Q134" s="30">
        <f t="shared" si="299"/>
        <v>0</v>
      </c>
      <c r="R134" s="25">
        <f t="shared" si="285"/>
        <v>0</v>
      </c>
      <c r="S134" s="30">
        <f t="shared" si="286"/>
        <v>569.57000000000005</v>
      </c>
      <c r="T134" s="36">
        <f t="shared" si="287"/>
        <v>5906.4409000000005</v>
      </c>
      <c r="U134" s="30"/>
      <c r="V134" s="43">
        <f t="shared" si="288"/>
        <v>0</v>
      </c>
      <c r="W134" s="30">
        <f t="shared" si="300"/>
        <v>0</v>
      </c>
      <c r="X134" s="47">
        <f t="shared" si="301"/>
        <v>0</v>
      </c>
      <c r="Y134" s="30">
        <f t="shared" si="289"/>
        <v>569.57000000000005</v>
      </c>
      <c r="Z134" s="36">
        <f t="shared" si="290"/>
        <v>5906.4409000000005</v>
      </c>
      <c r="AA134" s="52"/>
      <c r="AB134" s="43">
        <f t="shared" si="291"/>
        <v>0</v>
      </c>
      <c r="AC134" s="30"/>
      <c r="AD134" s="43"/>
      <c r="AE134" s="30">
        <f t="shared" si="302"/>
        <v>0</v>
      </c>
      <c r="AF134" s="47">
        <f t="shared" si="303"/>
        <v>0</v>
      </c>
      <c r="AG134" s="30">
        <f t="shared" si="292"/>
        <v>569.57000000000005</v>
      </c>
      <c r="AH134" s="36">
        <f t="shared" si="293"/>
        <v>5906.4409000000005</v>
      </c>
      <c r="AI134" s="52"/>
      <c r="AJ134" s="43">
        <f t="shared" si="294"/>
        <v>0</v>
      </c>
      <c r="AK134" s="30"/>
      <c r="AL134" s="43"/>
      <c r="AM134" s="30">
        <f t="shared" si="295"/>
        <v>0</v>
      </c>
      <c r="AN134" s="47">
        <f t="shared" si="296"/>
        <v>0</v>
      </c>
      <c r="AO134" s="30">
        <f t="shared" si="297"/>
        <v>569.57000000000005</v>
      </c>
      <c r="AP134" s="36">
        <f t="shared" si="298"/>
        <v>5906.4409000000005</v>
      </c>
    </row>
    <row r="135" spans="1:42" ht="14.25" customHeight="1" x14ac:dyDescent="0.25">
      <c r="A135" s="92" t="s">
        <v>721</v>
      </c>
      <c r="B135" s="12" t="s">
        <v>243</v>
      </c>
      <c r="C135" s="11" t="s">
        <v>26</v>
      </c>
      <c r="D135" s="11" t="s">
        <v>244</v>
      </c>
      <c r="E135" s="13" t="s">
        <v>24</v>
      </c>
      <c r="F135" s="12">
        <v>25.72</v>
      </c>
      <c r="G135" s="14">
        <v>10.81</v>
      </c>
      <c r="H135" s="14">
        <v>13.23</v>
      </c>
      <c r="I135" s="14">
        <v>340.27</v>
      </c>
      <c r="J135" s="28">
        <v>2.4287651677373304E-4</v>
      </c>
      <c r="K135" s="186"/>
      <c r="L135" s="186"/>
      <c r="M135" s="186"/>
      <c r="N135" s="186"/>
      <c r="O135" s="30"/>
      <c r="P135" s="43">
        <f t="shared" si="284"/>
        <v>0</v>
      </c>
      <c r="Q135" s="30">
        <f t="shared" si="299"/>
        <v>0</v>
      </c>
      <c r="R135" s="25">
        <f t="shared" si="285"/>
        <v>0</v>
      </c>
      <c r="S135" s="30">
        <f t="shared" si="286"/>
        <v>25.72</v>
      </c>
      <c r="T135" s="36">
        <f t="shared" si="287"/>
        <v>340.2756</v>
      </c>
      <c r="U135" s="30"/>
      <c r="V135" s="43">
        <f t="shared" si="288"/>
        <v>0</v>
      </c>
      <c r="W135" s="30">
        <f t="shared" si="300"/>
        <v>0</v>
      </c>
      <c r="X135" s="47">
        <f t="shared" si="301"/>
        <v>0</v>
      </c>
      <c r="Y135" s="30">
        <f t="shared" si="289"/>
        <v>25.72</v>
      </c>
      <c r="Z135" s="36">
        <f t="shared" si="290"/>
        <v>340.2756</v>
      </c>
      <c r="AA135" s="52"/>
      <c r="AB135" s="43">
        <f t="shared" si="291"/>
        <v>0</v>
      </c>
      <c r="AC135" s="30"/>
      <c r="AD135" s="43"/>
      <c r="AE135" s="30">
        <f t="shared" si="302"/>
        <v>0</v>
      </c>
      <c r="AF135" s="47">
        <f t="shared" si="303"/>
        <v>0</v>
      </c>
      <c r="AG135" s="30">
        <f t="shared" si="292"/>
        <v>25.72</v>
      </c>
      <c r="AH135" s="36">
        <f t="shared" si="293"/>
        <v>340.2756</v>
      </c>
      <c r="AI135" s="52"/>
      <c r="AJ135" s="43">
        <f t="shared" si="294"/>
        <v>0</v>
      </c>
      <c r="AK135" s="30"/>
      <c r="AL135" s="43"/>
      <c r="AM135" s="30">
        <f t="shared" si="295"/>
        <v>0</v>
      </c>
      <c r="AN135" s="47">
        <f t="shared" si="296"/>
        <v>0</v>
      </c>
      <c r="AO135" s="30">
        <f t="shared" si="297"/>
        <v>25.72</v>
      </c>
      <c r="AP135" s="36">
        <f t="shared" si="298"/>
        <v>340.2756</v>
      </c>
    </row>
    <row r="136" spans="1:42" ht="51.75" customHeight="1" x14ac:dyDescent="0.25">
      <c r="A136" s="92" t="s">
        <v>722</v>
      </c>
      <c r="B136" s="12" t="s">
        <v>245</v>
      </c>
      <c r="C136" s="11" t="s">
        <v>26</v>
      </c>
      <c r="D136" s="11" t="s">
        <v>246</v>
      </c>
      <c r="E136" s="13" t="s">
        <v>24</v>
      </c>
      <c r="F136" s="12">
        <v>21.6</v>
      </c>
      <c r="G136" s="14">
        <v>16.190000000000001</v>
      </c>
      <c r="H136" s="14">
        <v>19.82</v>
      </c>
      <c r="I136" s="14">
        <v>428.11</v>
      </c>
      <c r="J136" s="28">
        <v>3.0557458957887224E-4</v>
      </c>
      <c r="K136" s="186"/>
      <c r="L136" s="186"/>
      <c r="M136" s="186"/>
      <c r="N136" s="186"/>
      <c r="O136" s="30"/>
      <c r="P136" s="43">
        <f t="shared" si="284"/>
        <v>0</v>
      </c>
      <c r="Q136" s="30">
        <f>O136</f>
        <v>0</v>
      </c>
      <c r="R136" s="25">
        <f t="shared" si="285"/>
        <v>0</v>
      </c>
      <c r="S136" s="30">
        <f t="shared" si="286"/>
        <v>21.6</v>
      </c>
      <c r="T136" s="36">
        <f t="shared" si="287"/>
        <v>428.11200000000002</v>
      </c>
      <c r="U136" s="30"/>
      <c r="V136" s="43">
        <f t="shared" si="288"/>
        <v>0</v>
      </c>
      <c r="W136" s="30">
        <f>Q136+U136</f>
        <v>0</v>
      </c>
      <c r="X136" s="47">
        <f>W136/$F$8</f>
        <v>0</v>
      </c>
      <c r="Y136" s="30">
        <f t="shared" si="289"/>
        <v>21.6</v>
      </c>
      <c r="Z136" s="36">
        <f t="shared" si="290"/>
        <v>428.11200000000002</v>
      </c>
      <c r="AA136" s="52"/>
      <c r="AB136" s="43">
        <f t="shared" si="291"/>
        <v>0</v>
      </c>
      <c r="AC136" s="30"/>
      <c r="AD136" s="43"/>
      <c r="AE136" s="30">
        <f>W136+AC136</f>
        <v>0</v>
      </c>
      <c r="AF136" s="47">
        <f>AE136/$F$8</f>
        <v>0</v>
      </c>
      <c r="AG136" s="30">
        <f t="shared" si="292"/>
        <v>21.6</v>
      </c>
      <c r="AH136" s="36">
        <f t="shared" si="293"/>
        <v>428.11200000000002</v>
      </c>
      <c r="AI136" s="52"/>
      <c r="AJ136" s="43">
        <f t="shared" si="294"/>
        <v>0</v>
      </c>
      <c r="AK136" s="30"/>
      <c r="AL136" s="43"/>
      <c r="AM136" s="30">
        <f t="shared" si="295"/>
        <v>0</v>
      </c>
      <c r="AN136" s="47">
        <f t="shared" si="296"/>
        <v>0</v>
      </c>
      <c r="AO136" s="30">
        <f t="shared" si="297"/>
        <v>21.6</v>
      </c>
      <c r="AP136" s="36">
        <f t="shared" si="298"/>
        <v>428.11200000000002</v>
      </c>
    </row>
    <row r="137" spans="1:42" ht="14.25" customHeight="1" x14ac:dyDescent="0.25">
      <c r="A137" s="92" t="s">
        <v>723</v>
      </c>
      <c r="B137" s="12" t="s">
        <v>243</v>
      </c>
      <c r="C137" s="11" t="s">
        <v>26</v>
      </c>
      <c r="D137" s="11" t="s">
        <v>244</v>
      </c>
      <c r="E137" s="13" t="s">
        <v>24</v>
      </c>
      <c r="F137" s="12">
        <v>62.56</v>
      </c>
      <c r="G137" s="14">
        <v>10.81</v>
      </c>
      <c r="H137" s="14">
        <v>13.23</v>
      </c>
      <c r="I137" s="14">
        <v>827.66</v>
      </c>
      <c r="J137" s="28">
        <v>5.9076374018558178E-4</v>
      </c>
      <c r="K137" s="186"/>
      <c r="L137" s="186"/>
      <c r="M137" s="186"/>
      <c r="N137" s="186"/>
      <c r="O137" s="30"/>
      <c r="P137" s="43">
        <f t="shared" si="284"/>
        <v>0</v>
      </c>
      <c r="Q137" s="30">
        <f>O137</f>
        <v>0</v>
      </c>
      <c r="R137" s="25">
        <f t="shared" si="285"/>
        <v>0</v>
      </c>
      <c r="S137" s="30">
        <f t="shared" si="286"/>
        <v>62.56</v>
      </c>
      <c r="T137" s="36">
        <f t="shared" si="287"/>
        <v>827.66880000000003</v>
      </c>
      <c r="U137" s="30"/>
      <c r="V137" s="43">
        <f t="shared" si="288"/>
        <v>0</v>
      </c>
      <c r="W137" s="30">
        <f>Q137+U137</f>
        <v>0</v>
      </c>
      <c r="X137" s="47">
        <f>W137/$F$8</f>
        <v>0</v>
      </c>
      <c r="Y137" s="30">
        <f t="shared" si="289"/>
        <v>62.56</v>
      </c>
      <c r="Z137" s="36">
        <f t="shared" si="290"/>
        <v>827.66880000000003</v>
      </c>
      <c r="AA137" s="52"/>
      <c r="AB137" s="43">
        <f t="shared" si="291"/>
        <v>0</v>
      </c>
      <c r="AC137" s="30"/>
      <c r="AD137" s="43"/>
      <c r="AE137" s="30">
        <f>W137+AC137</f>
        <v>0</v>
      </c>
      <c r="AF137" s="47">
        <f>AE137/$F$8</f>
        <v>0</v>
      </c>
      <c r="AG137" s="30">
        <f t="shared" si="292"/>
        <v>62.56</v>
      </c>
      <c r="AH137" s="36">
        <f t="shared" si="293"/>
        <v>827.66880000000003</v>
      </c>
      <c r="AI137" s="52"/>
      <c r="AJ137" s="43">
        <f t="shared" si="294"/>
        <v>0</v>
      </c>
      <c r="AK137" s="30"/>
      <c r="AL137" s="43"/>
      <c r="AM137" s="30">
        <f t="shared" si="295"/>
        <v>0</v>
      </c>
      <c r="AN137" s="47">
        <f t="shared" si="296"/>
        <v>0</v>
      </c>
      <c r="AO137" s="30">
        <f t="shared" si="297"/>
        <v>62.56</v>
      </c>
      <c r="AP137" s="36">
        <f t="shared" si="298"/>
        <v>827.66880000000003</v>
      </c>
    </row>
    <row r="138" spans="1:42" ht="14.25" customHeight="1" x14ac:dyDescent="0.25">
      <c r="A138" s="91" t="s">
        <v>247</v>
      </c>
      <c r="B138" s="8"/>
      <c r="C138" s="8"/>
      <c r="D138" s="8" t="s">
        <v>248</v>
      </c>
      <c r="E138" s="8"/>
      <c r="F138" s="9"/>
      <c r="G138" s="8"/>
      <c r="H138" s="8"/>
      <c r="I138" s="10">
        <v>33522.230000000003</v>
      </c>
      <c r="J138" s="27">
        <v>2.3927359029264812E-2</v>
      </c>
      <c r="K138" s="185"/>
      <c r="L138" s="185"/>
      <c r="M138" s="185"/>
      <c r="N138" s="185"/>
      <c r="O138" s="32"/>
      <c r="P138" s="44"/>
      <c r="Q138" s="22"/>
      <c r="R138" s="22"/>
      <c r="S138" s="32"/>
      <c r="T138" s="37">
        <f>SUM(T139:T165)</f>
        <v>33522.229999999996</v>
      </c>
      <c r="U138" s="32"/>
      <c r="V138" s="44"/>
      <c r="W138" s="32"/>
      <c r="X138" s="48"/>
      <c r="Y138" s="32"/>
      <c r="Z138" s="37">
        <f>SUM(Z139:Z165)</f>
        <v>33522.229999999996</v>
      </c>
      <c r="AA138" s="53"/>
      <c r="AB138" s="44"/>
      <c r="AC138" s="32"/>
      <c r="AD138" s="44"/>
      <c r="AE138" s="32"/>
      <c r="AF138" s="48"/>
      <c r="AG138" s="32"/>
      <c r="AH138" s="37">
        <f>SUM(AH139:AH165)</f>
        <v>33522.229999999996</v>
      </c>
      <c r="AI138" s="53"/>
      <c r="AJ138" s="44"/>
      <c r="AK138" s="32"/>
      <c r="AL138" s="44"/>
      <c r="AM138" s="32"/>
      <c r="AN138" s="48"/>
      <c r="AO138" s="32"/>
      <c r="AP138" s="37">
        <f>SUM(AP139:AP165)</f>
        <v>33522.229999999996</v>
      </c>
    </row>
    <row r="139" spans="1:42" ht="14.25" customHeight="1" x14ac:dyDescent="0.25">
      <c r="A139" s="92" t="s">
        <v>724</v>
      </c>
      <c r="B139" s="12" t="s">
        <v>249</v>
      </c>
      <c r="C139" s="11" t="s">
        <v>26</v>
      </c>
      <c r="D139" s="11" t="s">
        <v>250</v>
      </c>
      <c r="E139" s="13" t="s">
        <v>116</v>
      </c>
      <c r="F139" s="12">
        <v>23</v>
      </c>
      <c r="G139" s="14">
        <v>7.6</v>
      </c>
      <c r="H139" s="14">
        <v>9.3000000000000007</v>
      </c>
      <c r="I139" s="14">
        <v>213.9</v>
      </c>
      <c r="J139" s="28">
        <v>1.5267665952890791E-4</v>
      </c>
      <c r="K139" s="186"/>
      <c r="L139" s="186"/>
      <c r="M139" s="186"/>
      <c r="N139" s="186"/>
      <c r="O139" s="30"/>
      <c r="P139" s="43">
        <f t="shared" ref="P139:P165" si="304">O139*H139</f>
        <v>0</v>
      </c>
      <c r="Q139" s="30">
        <f t="shared" ref="Q139:Q165" si="305">O139</f>
        <v>0</v>
      </c>
      <c r="R139" s="25">
        <f t="shared" ref="R139:R165" si="306">Q139/F139</f>
        <v>0</v>
      </c>
      <c r="S139" s="30">
        <f t="shared" ref="S139:S165" si="307">F139-Q139</f>
        <v>23</v>
      </c>
      <c r="T139" s="36">
        <f t="shared" ref="T139:T165" si="308">S139*H139</f>
        <v>213.9</v>
      </c>
      <c r="U139" s="30"/>
      <c r="V139" s="43">
        <f t="shared" ref="V139:V165" si="309">U139*H139</f>
        <v>0</v>
      </c>
      <c r="W139" s="30">
        <f t="shared" ref="W139:W165" si="310">Q139+U139</f>
        <v>0</v>
      </c>
      <c r="X139" s="47">
        <f t="shared" ref="X139:X202" si="311">W139/$F$8</f>
        <v>0</v>
      </c>
      <c r="Y139" s="30">
        <f t="shared" ref="Y139:Y165" si="312">F139-W139</f>
        <v>23</v>
      </c>
      <c r="Z139" s="36">
        <f t="shared" ref="Z139:Z165" si="313">Y139*H139</f>
        <v>213.9</v>
      </c>
      <c r="AA139" s="52"/>
      <c r="AB139" s="43">
        <f t="shared" ref="AB139:AB165" si="314">AA139*H139</f>
        <v>0</v>
      </c>
      <c r="AC139" s="30"/>
      <c r="AD139" s="43"/>
      <c r="AE139" s="30">
        <f t="shared" ref="AE139:AE165" si="315">W139+AC139</f>
        <v>0</v>
      </c>
      <c r="AF139" s="47">
        <f t="shared" ref="AF139:AF202" si="316">AE139/$F$8</f>
        <v>0</v>
      </c>
      <c r="AG139" s="30">
        <f t="shared" ref="AG139:AG165" si="317">F139-AE139</f>
        <v>23</v>
      </c>
      <c r="AH139" s="36">
        <f t="shared" ref="AH139:AH165" si="318">AG139*H139</f>
        <v>213.9</v>
      </c>
      <c r="AI139" s="52"/>
      <c r="AJ139" s="43">
        <f t="shared" ref="AJ139:AJ165" si="319">AI139*T139</f>
        <v>0</v>
      </c>
      <c r="AK139" s="30"/>
      <c r="AL139" s="43"/>
      <c r="AM139" s="30">
        <f t="shared" ref="AM139:AM165" si="320">AE139+AK139</f>
        <v>0</v>
      </c>
      <c r="AN139" s="47">
        <f t="shared" ref="AN139:AN202" si="321">AM139/$F$8</f>
        <v>0</v>
      </c>
      <c r="AO139" s="30">
        <f t="shared" ref="AO139:AO165" si="322">F139-AM139</f>
        <v>23</v>
      </c>
      <c r="AP139" s="36">
        <f t="shared" ref="AP139:AP165" si="323">AO139*H139</f>
        <v>213.9</v>
      </c>
    </row>
    <row r="140" spans="1:42" ht="25.5" customHeight="1" x14ac:dyDescent="0.25">
      <c r="A140" s="92" t="s">
        <v>725</v>
      </c>
      <c r="B140" s="12" t="s">
        <v>251</v>
      </c>
      <c r="C140" s="11" t="s">
        <v>26</v>
      </c>
      <c r="D140" s="11" t="s">
        <v>252</v>
      </c>
      <c r="E140" s="13" t="s">
        <v>116</v>
      </c>
      <c r="F140" s="12">
        <v>8</v>
      </c>
      <c r="G140" s="14">
        <v>4.22</v>
      </c>
      <c r="H140" s="14">
        <v>5.16</v>
      </c>
      <c r="I140" s="14">
        <v>41.28</v>
      </c>
      <c r="J140" s="28">
        <v>2.9464668094218414E-5</v>
      </c>
      <c r="K140" s="186"/>
      <c r="L140" s="186"/>
      <c r="M140" s="186"/>
      <c r="N140" s="186"/>
      <c r="O140" s="30"/>
      <c r="P140" s="43">
        <f t="shared" si="304"/>
        <v>0</v>
      </c>
      <c r="Q140" s="30">
        <f t="shared" si="305"/>
        <v>0</v>
      </c>
      <c r="R140" s="25">
        <f t="shared" si="306"/>
        <v>0</v>
      </c>
      <c r="S140" s="30">
        <f t="shared" si="307"/>
        <v>8</v>
      </c>
      <c r="T140" s="36">
        <f t="shared" si="308"/>
        <v>41.28</v>
      </c>
      <c r="U140" s="30"/>
      <c r="V140" s="43">
        <f t="shared" si="309"/>
        <v>0</v>
      </c>
      <c r="W140" s="30">
        <f t="shared" si="310"/>
        <v>0</v>
      </c>
      <c r="X140" s="47">
        <f t="shared" si="311"/>
        <v>0</v>
      </c>
      <c r="Y140" s="30">
        <f t="shared" si="312"/>
        <v>8</v>
      </c>
      <c r="Z140" s="36">
        <f t="shared" si="313"/>
        <v>41.28</v>
      </c>
      <c r="AA140" s="52"/>
      <c r="AB140" s="43">
        <f t="shared" si="314"/>
        <v>0</v>
      </c>
      <c r="AC140" s="30"/>
      <c r="AD140" s="43"/>
      <c r="AE140" s="30">
        <f t="shared" si="315"/>
        <v>0</v>
      </c>
      <c r="AF140" s="47">
        <f t="shared" si="316"/>
        <v>0</v>
      </c>
      <c r="AG140" s="30">
        <f t="shared" si="317"/>
        <v>8</v>
      </c>
      <c r="AH140" s="36">
        <f t="shared" si="318"/>
        <v>41.28</v>
      </c>
      <c r="AI140" s="52"/>
      <c r="AJ140" s="43">
        <f t="shared" si="319"/>
        <v>0</v>
      </c>
      <c r="AK140" s="30"/>
      <c r="AL140" s="43"/>
      <c r="AM140" s="30">
        <f t="shared" si="320"/>
        <v>0</v>
      </c>
      <c r="AN140" s="47">
        <f t="shared" si="321"/>
        <v>0</v>
      </c>
      <c r="AO140" s="30">
        <f t="shared" si="322"/>
        <v>8</v>
      </c>
      <c r="AP140" s="36">
        <f t="shared" si="323"/>
        <v>41.28</v>
      </c>
    </row>
    <row r="141" spans="1:42" ht="25.5" customHeight="1" x14ac:dyDescent="0.25">
      <c r="A141" s="92" t="s">
        <v>726</v>
      </c>
      <c r="B141" s="12" t="s">
        <v>253</v>
      </c>
      <c r="C141" s="11" t="s">
        <v>26</v>
      </c>
      <c r="D141" s="11" t="s">
        <v>254</v>
      </c>
      <c r="E141" s="13" t="s">
        <v>116</v>
      </c>
      <c r="F141" s="12">
        <v>3</v>
      </c>
      <c r="G141" s="14">
        <v>8.52</v>
      </c>
      <c r="H141" s="14">
        <v>10.43</v>
      </c>
      <c r="I141" s="14">
        <v>31.29</v>
      </c>
      <c r="J141" s="28">
        <v>2.2334047109207709E-5</v>
      </c>
      <c r="K141" s="186"/>
      <c r="L141" s="186"/>
      <c r="M141" s="186"/>
      <c r="N141" s="186"/>
      <c r="O141" s="30"/>
      <c r="P141" s="43">
        <f t="shared" si="304"/>
        <v>0</v>
      </c>
      <c r="Q141" s="30">
        <f t="shared" si="305"/>
        <v>0</v>
      </c>
      <c r="R141" s="25">
        <f t="shared" si="306"/>
        <v>0</v>
      </c>
      <c r="S141" s="30">
        <f t="shared" si="307"/>
        <v>3</v>
      </c>
      <c r="T141" s="36">
        <f t="shared" si="308"/>
        <v>31.29</v>
      </c>
      <c r="U141" s="30"/>
      <c r="V141" s="43">
        <f t="shared" si="309"/>
        <v>0</v>
      </c>
      <c r="W141" s="30">
        <f t="shared" si="310"/>
        <v>0</v>
      </c>
      <c r="X141" s="47">
        <f t="shared" si="311"/>
        <v>0</v>
      </c>
      <c r="Y141" s="30">
        <f t="shared" si="312"/>
        <v>3</v>
      </c>
      <c r="Z141" s="36">
        <f t="shared" si="313"/>
        <v>31.29</v>
      </c>
      <c r="AA141" s="52"/>
      <c r="AB141" s="43">
        <f t="shared" si="314"/>
        <v>0</v>
      </c>
      <c r="AC141" s="30"/>
      <c r="AD141" s="43"/>
      <c r="AE141" s="30">
        <f t="shared" si="315"/>
        <v>0</v>
      </c>
      <c r="AF141" s="47">
        <f t="shared" si="316"/>
        <v>0</v>
      </c>
      <c r="AG141" s="30">
        <f t="shared" si="317"/>
        <v>3</v>
      </c>
      <c r="AH141" s="36">
        <f t="shared" si="318"/>
        <v>31.29</v>
      </c>
      <c r="AI141" s="52"/>
      <c r="AJ141" s="43">
        <f t="shared" si="319"/>
        <v>0</v>
      </c>
      <c r="AK141" s="30"/>
      <c r="AL141" s="43"/>
      <c r="AM141" s="30">
        <f t="shared" si="320"/>
        <v>0</v>
      </c>
      <c r="AN141" s="47">
        <f t="shared" si="321"/>
        <v>0</v>
      </c>
      <c r="AO141" s="30">
        <f t="shared" si="322"/>
        <v>3</v>
      </c>
      <c r="AP141" s="36">
        <f t="shared" si="323"/>
        <v>31.29</v>
      </c>
    </row>
    <row r="142" spans="1:42" ht="25.5" customHeight="1" x14ac:dyDescent="0.25">
      <c r="A142" s="92" t="s">
        <v>727</v>
      </c>
      <c r="B142" s="12" t="s">
        <v>255</v>
      </c>
      <c r="C142" s="11" t="s">
        <v>26</v>
      </c>
      <c r="D142" s="11" t="s">
        <v>256</v>
      </c>
      <c r="E142" s="13" t="s">
        <v>116</v>
      </c>
      <c r="F142" s="12">
        <v>11</v>
      </c>
      <c r="G142" s="14">
        <v>13.12</v>
      </c>
      <c r="H142" s="14">
        <v>16.059999999999999</v>
      </c>
      <c r="I142" s="14">
        <v>176.66</v>
      </c>
      <c r="J142" s="28">
        <v>1.2609564596716632E-4</v>
      </c>
      <c r="K142" s="186"/>
      <c r="L142" s="186"/>
      <c r="M142" s="186"/>
      <c r="N142" s="186"/>
      <c r="O142" s="30"/>
      <c r="P142" s="43">
        <f t="shared" si="304"/>
        <v>0</v>
      </c>
      <c r="Q142" s="30">
        <f t="shared" si="305"/>
        <v>0</v>
      </c>
      <c r="R142" s="25">
        <f t="shared" si="306"/>
        <v>0</v>
      </c>
      <c r="S142" s="30">
        <f t="shared" si="307"/>
        <v>11</v>
      </c>
      <c r="T142" s="36">
        <f t="shared" si="308"/>
        <v>176.66</v>
      </c>
      <c r="U142" s="30"/>
      <c r="V142" s="43">
        <f t="shared" si="309"/>
        <v>0</v>
      </c>
      <c r="W142" s="30">
        <f t="shared" si="310"/>
        <v>0</v>
      </c>
      <c r="X142" s="47">
        <f t="shared" si="311"/>
        <v>0</v>
      </c>
      <c r="Y142" s="30">
        <f t="shared" si="312"/>
        <v>11</v>
      </c>
      <c r="Z142" s="36">
        <f t="shared" si="313"/>
        <v>176.66</v>
      </c>
      <c r="AA142" s="52"/>
      <c r="AB142" s="43">
        <f t="shared" si="314"/>
        <v>0</v>
      </c>
      <c r="AC142" s="30"/>
      <c r="AD142" s="43"/>
      <c r="AE142" s="30">
        <f t="shared" si="315"/>
        <v>0</v>
      </c>
      <c r="AF142" s="47">
        <f t="shared" si="316"/>
        <v>0</v>
      </c>
      <c r="AG142" s="30">
        <f t="shared" si="317"/>
        <v>11</v>
      </c>
      <c r="AH142" s="36">
        <f t="shared" si="318"/>
        <v>176.66</v>
      </c>
      <c r="AI142" s="52"/>
      <c r="AJ142" s="43">
        <f t="shared" si="319"/>
        <v>0</v>
      </c>
      <c r="AK142" s="30"/>
      <c r="AL142" s="43"/>
      <c r="AM142" s="30">
        <f t="shared" si="320"/>
        <v>0</v>
      </c>
      <c r="AN142" s="47">
        <f t="shared" si="321"/>
        <v>0</v>
      </c>
      <c r="AO142" s="30">
        <f t="shared" si="322"/>
        <v>11</v>
      </c>
      <c r="AP142" s="36">
        <f t="shared" si="323"/>
        <v>176.66</v>
      </c>
    </row>
    <row r="143" spans="1:42" ht="25.5" customHeight="1" x14ac:dyDescent="0.25">
      <c r="A143" s="92" t="s">
        <v>728</v>
      </c>
      <c r="B143" s="12" t="s">
        <v>257</v>
      </c>
      <c r="C143" s="11" t="s">
        <v>26</v>
      </c>
      <c r="D143" s="11" t="s">
        <v>258</v>
      </c>
      <c r="E143" s="13" t="s">
        <v>116</v>
      </c>
      <c r="F143" s="12">
        <v>4</v>
      </c>
      <c r="G143" s="14">
        <v>14.5</v>
      </c>
      <c r="H143" s="14">
        <v>17.75</v>
      </c>
      <c r="I143" s="14">
        <v>71</v>
      </c>
      <c r="J143" s="28">
        <v>5.0678087080656676E-5</v>
      </c>
      <c r="K143" s="186"/>
      <c r="L143" s="186"/>
      <c r="M143" s="186"/>
      <c r="N143" s="186"/>
      <c r="O143" s="30"/>
      <c r="P143" s="43">
        <f t="shared" si="304"/>
        <v>0</v>
      </c>
      <c r="Q143" s="30">
        <f t="shared" si="305"/>
        <v>0</v>
      </c>
      <c r="R143" s="25">
        <f t="shared" si="306"/>
        <v>0</v>
      </c>
      <c r="S143" s="30">
        <f t="shared" si="307"/>
        <v>4</v>
      </c>
      <c r="T143" s="36">
        <f t="shared" si="308"/>
        <v>71</v>
      </c>
      <c r="U143" s="30"/>
      <c r="V143" s="43">
        <f t="shared" si="309"/>
        <v>0</v>
      </c>
      <c r="W143" s="30">
        <f t="shared" si="310"/>
        <v>0</v>
      </c>
      <c r="X143" s="47">
        <f t="shared" si="311"/>
        <v>0</v>
      </c>
      <c r="Y143" s="30">
        <f t="shared" si="312"/>
        <v>4</v>
      </c>
      <c r="Z143" s="36">
        <f t="shared" si="313"/>
        <v>71</v>
      </c>
      <c r="AA143" s="52"/>
      <c r="AB143" s="43">
        <f t="shared" si="314"/>
        <v>0</v>
      </c>
      <c r="AC143" s="30"/>
      <c r="AD143" s="43"/>
      <c r="AE143" s="30">
        <f t="shared" si="315"/>
        <v>0</v>
      </c>
      <c r="AF143" s="47">
        <f t="shared" si="316"/>
        <v>0</v>
      </c>
      <c r="AG143" s="30">
        <f t="shared" si="317"/>
        <v>4</v>
      </c>
      <c r="AH143" s="36">
        <f t="shared" si="318"/>
        <v>71</v>
      </c>
      <c r="AI143" s="52"/>
      <c r="AJ143" s="43">
        <f t="shared" si="319"/>
        <v>0</v>
      </c>
      <c r="AK143" s="30"/>
      <c r="AL143" s="43"/>
      <c r="AM143" s="30">
        <f t="shared" si="320"/>
        <v>0</v>
      </c>
      <c r="AN143" s="47">
        <f t="shared" si="321"/>
        <v>0</v>
      </c>
      <c r="AO143" s="30">
        <f t="shared" si="322"/>
        <v>4</v>
      </c>
      <c r="AP143" s="36">
        <f t="shared" si="323"/>
        <v>71</v>
      </c>
    </row>
    <row r="144" spans="1:42" ht="25.5" customHeight="1" x14ac:dyDescent="0.25">
      <c r="A144" s="92" t="s">
        <v>729</v>
      </c>
      <c r="B144" s="12" t="s">
        <v>259</v>
      </c>
      <c r="C144" s="11" t="s">
        <v>26</v>
      </c>
      <c r="D144" s="11" t="s">
        <v>260</v>
      </c>
      <c r="E144" s="13" t="s">
        <v>116</v>
      </c>
      <c r="F144" s="12">
        <v>69</v>
      </c>
      <c r="G144" s="14">
        <v>23.35</v>
      </c>
      <c r="H144" s="14">
        <v>28.59</v>
      </c>
      <c r="I144" s="14">
        <v>1972.71</v>
      </c>
      <c r="J144" s="28">
        <v>1.4080728051391862E-3</v>
      </c>
      <c r="K144" s="186"/>
      <c r="L144" s="186"/>
      <c r="M144" s="186"/>
      <c r="N144" s="186"/>
      <c r="O144" s="30"/>
      <c r="P144" s="43">
        <f t="shared" si="304"/>
        <v>0</v>
      </c>
      <c r="Q144" s="30">
        <f t="shared" si="305"/>
        <v>0</v>
      </c>
      <c r="R144" s="25">
        <f t="shared" si="306"/>
        <v>0</v>
      </c>
      <c r="S144" s="30">
        <f t="shared" si="307"/>
        <v>69</v>
      </c>
      <c r="T144" s="36">
        <f t="shared" si="308"/>
        <v>1972.71</v>
      </c>
      <c r="U144" s="30"/>
      <c r="V144" s="43">
        <f t="shared" si="309"/>
        <v>0</v>
      </c>
      <c r="W144" s="30">
        <f t="shared" si="310"/>
        <v>0</v>
      </c>
      <c r="X144" s="47">
        <f t="shared" si="311"/>
        <v>0</v>
      </c>
      <c r="Y144" s="30">
        <f t="shared" si="312"/>
        <v>69</v>
      </c>
      <c r="Z144" s="36">
        <f t="shared" si="313"/>
        <v>1972.71</v>
      </c>
      <c r="AA144" s="52"/>
      <c r="AB144" s="43">
        <f t="shared" si="314"/>
        <v>0</v>
      </c>
      <c r="AC144" s="30"/>
      <c r="AD144" s="43"/>
      <c r="AE144" s="30">
        <f t="shared" si="315"/>
        <v>0</v>
      </c>
      <c r="AF144" s="47">
        <f t="shared" si="316"/>
        <v>0</v>
      </c>
      <c r="AG144" s="30">
        <f t="shared" si="317"/>
        <v>69</v>
      </c>
      <c r="AH144" s="36">
        <f t="shared" si="318"/>
        <v>1972.71</v>
      </c>
      <c r="AI144" s="52"/>
      <c r="AJ144" s="43">
        <f t="shared" si="319"/>
        <v>0</v>
      </c>
      <c r="AK144" s="30"/>
      <c r="AL144" s="43"/>
      <c r="AM144" s="30">
        <f t="shared" si="320"/>
        <v>0</v>
      </c>
      <c r="AN144" s="47">
        <f t="shared" si="321"/>
        <v>0</v>
      </c>
      <c r="AO144" s="30">
        <f t="shared" si="322"/>
        <v>69</v>
      </c>
      <c r="AP144" s="36">
        <f t="shared" si="323"/>
        <v>1972.71</v>
      </c>
    </row>
    <row r="145" spans="1:42" ht="39" customHeight="1" x14ac:dyDescent="0.25">
      <c r="A145" s="92" t="s">
        <v>730</v>
      </c>
      <c r="B145" s="12" t="s">
        <v>261</v>
      </c>
      <c r="C145" s="11" t="s">
        <v>26</v>
      </c>
      <c r="D145" s="11" t="s">
        <v>262</v>
      </c>
      <c r="E145" s="13" t="s">
        <v>31</v>
      </c>
      <c r="F145" s="12">
        <v>14</v>
      </c>
      <c r="G145" s="14">
        <v>4.68</v>
      </c>
      <c r="H145" s="14">
        <v>5.73</v>
      </c>
      <c r="I145" s="14">
        <v>80.22</v>
      </c>
      <c r="J145" s="28">
        <v>5.7259100642398287E-5</v>
      </c>
      <c r="K145" s="186"/>
      <c r="L145" s="186"/>
      <c r="M145" s="186"/>
      <c r="N145" s="186"/>
      <c r="O145" s="30"/>
      <c r="P145" s="43">
        <f t="shared" si="304"/>
        <v>0</v>
      </c>
      <c r="Q145" s="30">
        <f t="shared" si="305"/>
        <v>0</v>
      </c>
      <c r="R145" s="25">
        <f t="shared" si="306"/>
        <v>0</v>
      </c>
      <c r="S145" s="30">
        <f t="shared" si="307"/>
        <v>14</v>
      </c>
      <c r="T145" s="36">
        <f t="shared" si="308"/>
        <v>80.22</v>
      </c>
      <c r="U145" s="30"/>
      <c r="V145" s="43">
        <f t="shared" si="309"/>
        <v>0</v>
      </c>
      <c r="W145" s="30">
        <f t="shared" si="310"/>
        <v>0</v>
      </c>
      <c r="X145" s="47">
        <f t="shared" si="311"/>
        <v>0</v>
      </c>
      <c r="Y145" s="30">
        <f t="shared" si="312"/>
        <v>14</v>
      </c>
      <c r="Z145" s="36">
        <f t="shared" si="313"/>
        <v>80.22</v>
      </c>
      <c r="AA145" s="52"/>
      <c r="AB145" s="43">
        <f t="shared" si="314"/>
        <v>0</v>
      </c>
      <c r="AC145" s="30"/>
      <c r="AD145" s="43"/>
      <c r="AE145" s="30">
        <f t="shared" si="315"/>
        <v>0</v>
      </c>
      <c r="AF145" s="47">
        <f t="shared" si="316"/>
        <v>0</v>
      </c>
      <c r="AG145" s="30">
        <f t="shared" si="317"/>
        <v>14</v>
      </c>
      <c r="AH145" s="36">
        <f t="shared" si="318"/>
        <v>80.22</v>
      </c>
      <c r="AI145" s="52"/>
      <c r="AJ145" s="43">
        <f t="shared" si="319"/>
        <v>0</v>
      </c>
      <c r="AK145" s="30"/>
      <c r="AL145" s="43"/>
      <c r="AM145" s="30">
        <f t="shared" si="320"/>
        <v>0</v>
      </c>
      <c r="AN145" s="47">
        <f t="shared" si="321"/>
        <v>0</v>
      </c>
      <c r="AO145" s="30">
        <f t="shared" si="322"/>
        <v>14</v>
      </c>
      <c r="AP145" s="36">
        <f t="shared" si="323"/>
        <v>80.22</v>
      </c>
    </row>
    <row r="146" spans="1:42" ht="14.25" customHeight="1" x14ac:dyDescent="0.25">
      <c r="A146" s="92" t="s">
        <v>731</v>
      </c>
      <c r="B146" s="12" t="s">
        <v>263</v>
      </c>
      <c r="C146" s="11" t="s">
        <v>26</v>
      </c>
      <c r="D146" s="11" t="s">
        <v>264</v>
      </c>
      <c r="E146" s="13" t="s">
        <v>31</v>
      </c>
      <c r="F146" s="12">
        <v>15</v>
      </c>
      <c r="G146" s="14">
        <v>3.46</v>
      </c>
      <c r="H146" s="14">
        <v>4.2300000000000004</v>
      </c>
      <c r="I146" s="14">
        <v>63.45</v>
      </c>
      <c r="J146" s="28">
        <v>4.5289079229122055E-5</v>
      </c>
      <c r="K146" s="186"/>
      <c r="L146" s="186"/>
      <c r="M146" s="186"/>
      <c r="N146" s="186"/>
      <c r="O146" s="30"/>
      <c r="P146" s="43">
        <f t="shared" si="304"/>
        <v>0</v>
      </c>
      <c r="Q146" s="30">
        <f t="shared" si="305"/>
        <v>0</v>
      </c>
      <c r="R146" s="25">
        <f t="shared" si="306"/>
        <v>0</v>
      </c>
      <c r="S146" s="30">
        <f t="shared" si="307"/>
        <v>15</v>
      </c>
      <c r="T146" s="36">
        <f t="shared" si="308"/>
        <v>63.45</v>
      </c>
      <c r="U146" s="30"/>
      <c r="V146" s="43">
        <f t="shared" si="309"/>
        <v>0</v>
      </c>
      <c r="W146" s="30">
        <f t="shared" si="310"/>
        <v>0</v>
      </c>
      <c r="X146" s="47">
        <f t="shared" si="311"/>
        <v>0</v>
      </c>
      <c r="Y146" s="30">
        <f t="shared" si="312"/>
        <v>15</v>
      </c>
      <c r="Z146" s="36">
        <f t="shared" si="313"/>
        <v>63.45</v>
      </c>
      <c r="AA146" s="52"/>
      <c r="AB146" s="43">
        <f t="shared" si="314"/>
        <v>0</v>
      </c>
      <c r="AC146" s="30"/>
      <c r="AD146" s="43"/>
      <c r="AE146" s="30">
        <f t="shared" si="315"/>
        <v>0</v>
      </c>
      <c r="AF146" s="47">
        <f t="shared" si="316"/>
        <v>0</v>
      </c>
      <c r="AG146" s="30">
        <f t="shared" si="317"/>
        <v>15</v>
      </c>
      <c r="AH146" s="36">
        <f t="shared" si="318"/>
        <v>63.45</v>
      </c>
      <c r="AI146" s="52"/>
      <c r="AJ146" s="43">
        <f t="shared" si="319"/>
        <v>0</v>
      </c>
      <c r="AK146" s="30"/>
      <c r="AL146" s="43"/>
      <c r="AM146" s="30">
        <f t="shared" si="320"/>
        <v>0</v>
      </c>
      <c r="AN146" s="47">
        <f t="shared" si="321"/>
        <v>0</v>
      </c>
      <c r="AO146" s="30">
        <f t="shared" si="322"/>
        <v>15</v>
      </c>
      <c r="AP146" s="36">
        <f t="shared" si="323"/>
        <v>63.45</v>
      </c>
    </row>
    <row r="147" spans="1:42" ht="14.25" customHeight="1" x14ac:dyDescent="0.25">
      <c r="A147" s="92" t="s">
        <v>732</v>
      </c>
      <c r="B147" s="12" t="s">
        <v>265</v>
      </c>
      <c r="C147" s="11" t="s">
        <v>26</v>
      </c>
      <c r="D147" s="11" t="s">
        <v>266</v>
      </c>
      <c r="E147" s="13" t="s">
        <v>31</v>
      </c>
      <c r="F147" s="12">
        <v>42</v>
      </c>
      <c r="G147" s="14">
        <v>5.57</v>
      </c>
      <c r="H147" s="14">
        <v>6.82</v>
      </c>
      <c r="I147" s="14">
        <v>286.44</v>
      </c>
      <c r="J147" s="28">
        <v>2.0445396145610278E-4</v>
      </c>
      <c r="K147" s="186"/>
      <c r="L147" s="186"/>
      <c r="M147" s="186"/>
      <c r="N147" s="186"/>
      <c r="O147" s="30"/>
      <c r="P147" s="43">
        <f t="shared" si="304"/>
        <v>0</v>
      </c>
      <c r="Q147" s="30">
        <f t="shared" si="305"/>
        <v>0</v>
      </c>
      <c r="R147" s="25">
        <f t="shared" si="306"/>
        <v>0</v>
      </c>
      <c r="S147" s="30">
        <f t="shared" si="307"/>
        <v>42</v>
      </c>
      <c r="T147" s="36">
        <f t="shared" si="308"/>
        <v>286.44</v>
      </c>
      <c r="U147" s="30"/>
      <c r="V147" s="43">
        <f t="shared" si="309"/>
        <v>0</v>
      </c>
      <c r="W147" s="30">
        <f t="shared" si="310"/>
        <v>0</v>
      </c>
      <c r="X147" s="47">
        <f t="shared" si="311"/>
        <v>0</v>
      </c>
      <c r="Y147" s="30">
        <f t="shared" si="312"/>
        <v>42</v>
      </c>
      <c r="Z147" s="36">
        <f t="shared" si="313"/>
        <v>286.44</v>
      </c>
      <c r="AA147" s="52"/>
      <c r="AB147" s="43">
        <f t="shared" si="314"/>
        <v>0</v>
      </c>
      <c r="AC147" s="30"/>
      <c r="AD147" s="43"/>
      <c r="AE147" s="30">
        <f t="shared" si="315"/>
        <v>0</v>
      </c>
      <c r="AF147" s="47">
        <f t="shared" si="316"/>
        <v>0</v>
      </c>
      <c r="AG147" s="30">
        <f t="shared" si="317"/>
        <v>42</v>
      </c>
      <c r="AH147" s="36">
        <f t="shared" si="318"/>
        <v>286.44</v>
      </c>
      <c r="AI147" s="52"/>
      <c r="AJ147" s="43">
        <f t="shared" si="319"/>
        <v>0</v>
      </c>
      <c r="AK147" s="30"/>
      <c r="AL147" s="43"/>
      <c r="AM147" s="30">
        <f t="shared" si="320"/>
        <v>0</v>
      </c>
      <c r="AN147" s="47">
        <f t="shared" si="321"/>
        <v>0</v>
      </c>
      <c r="AO147" s="30">
        <f t="shared" si="322"/>
        <v>42</v>
      </c>
      <c r="AP147" s="36">
        <f t="shared" si="323"/>
        <v>286.44</v>
      </c>
    </row>
    <row r="148" spans="1:42" ht="14.25" customHeight="1" x14ac:dyDescent="0.25">
      <c r="A148" s="92" t="s">
        <v>733</v>
      </c>
      <c r="B148" s="12" t="s">
        <v>267</v>
      </c>
      <c r="C148" s="11" t="s">
        <v>26</v>
      </c>
      <c r="D148" s="11" t="s">
        <v>268</v>
      </c>
      <c r="E148" s="13" t="s">
        <v>31</v>
      </c>
      <c r="F148" s="12">
        <v>8</v>
      </c>
      <c r="G148" s="14">
        <v>9.2799999999999994</v>
      </c>
      <c r="H148" s="14">
        <v>11.36</v>
      </c>
      <c r="I148" s="14">
        <v>90.88</v>
      </c>
      <c r="J148" s="28">
        <v>6.4867951463240539E-5</v>
      </c>
      <c r="K148" s="186"/>
      <c r="L148" s="186"/>
      <c r="M148" s="186"/>
      <c r="N148" s="186"/>
      <c r="O148" s="30"/>
      <c r="P148" s="43">
        <f t="shared" si="304"/>
        <v>0</v>
      </c>
      <c r="Q148" s="30">
        <f t="shared" si="305"/>
        <v>0</v>
      </c>
      <c r="R148" s="25">
        <f t="shared" si="306"/>
        <v>0</v>
      </c>
      <c r="S148" s="30">
        <f t="shared" si="307"/>
        <v>8</v>
      </c>
      <c r="T148" s="36">
        <f t="shared" si="308"/>
        <v>90.88</v>
      </c>
      <c r="U148" s="30"/>
      <c r="V148" s="43">
        <f t="shared" si="309"/>
        <v>0</v>
      </c>
      <c r="W148" s="30">
        <f t="shared" si="310"/>
        <v>0</v>
      </c>
      <c r="X148" s="47">
        <f t="shared" si="311"/>
        <v>0</v>
      </c>
      <c r="Y148" s="30">
        <f t="shared" si="312"/>
        <v>8</v>
      </c>
      <c r="Z148" s="36">
        <f t="shared" si="313"/>
        <v>90.88</v>
      </c>
      <c r="AA148" s="52"/>
      <c r="AB148" s="43">
        <f t="shared" si="314"/>
        <v>0</v>
      </c>
      <c r="AC148" s="30"/>
      <c r="AD148" s="43"/>
      <c r="AE148" s="30">
        <f t="shared" si="315"/>
        <v>0</v>
      </c>
      <c r="AF148" s="47">
        <f t="shared" si="316"/>
        <v>0</v>
      </c>
      <c r="AG148" s="30">
        <f t="shared" si="317"/>
        <v>8</v>
      </c>
      <c r="AH148" s="36">
        <f t="shared" si="318"/>
        <v>90.88</v>
      </c>
      <c r="AI148" s="52"/>
      <c r="AJ148" s="43">
        <f t="shared" si="319"/>
        <v>0</v>
      </c>
      <c r="AK148" s="30"/>
      <c r="AL148" s="43"/>
      <c r="AM148" s="30">
        <f t="shared" si="320"/>
        <v>0</v>
      </c>
      <c r="AN148" s="47">
        <f t="shared" si="321"/>
        <v>0</v>
      </c>
      <c r="AO148" s="30">
        <f t="shared" si="322"/>
        <v>8</v>
      </c>
      <c r="AP148" s="36">
        <f t="shared" si="323"/>
        <v>90.88</v>
      </c>
    </row>
    <row r="149" spans="1:42" ht="14.25" customHeight="1" x14ac:dyDescent="0.25">
      <c r="A149" s="92" t="s">
        <v>734</v>
      </c>
      <c r="B149" s="12" t="s">
        <v>269</v>
      </c>
      <c r="C149" s="11" t="s">
        <v>26</v>
      </c>
      <c r="D149" s="11" t="s">
        <v>270</v>
      </c>
      <c r="E149" s="13" t="s">
        <v>31</v>
      </c>
      <c r="F149" s="12">
        <v>2</v>
      </c>
      <c r="G149" s="14">
        <v>30.87</v>
      </c>
      <c r="H149" s="14">
        <v>37.799999999999997</v>
      </c>
      <c r="I149" s="14">
        <v>75.599999999999994</v>
      </c>
      <c r="J149" s="28">
        <v>5.3961456102783729E-5</v>
      </c>
      <c r="K149" s="186"/>
      <c r="L149" s="186"/>
      <c r="M149" s="186"/>
      <c r="N149" s="186"/>
      <c r="O149" s="30"/>
      <c r="P149" s="43">
        <f t="shared" si="304"/>
        <v>0</v>
      </c>
      <c r="Q149" s="30">
        <f t="shared" si="305"/>
        <v>0</v>
      </c>
      <c r="R149" s="25">
        <f t="shared" si="306"/>
        <v>0</v>
      </c>
      <c r="S149" s="30">
        <f t="shared" si="307"/>
        <v>2</v>
      </c>
      <c r="T149" s="36">
        <f t="shared" si="308"/>
        <v>75.599999999999994</v>
      </c>
      <c r="U149" s="30"/>
      <c r="V149" s="43">
        <f t="shared" si="309"/>
        <v>0</v>
      </c>
      <c r="W149" s="30">
        <f t="shared" si="310"/>
        <v>0</v>
      </c>
      <c r="X149" s="47">
        <f t="shared" si="311"/>
        <v>0</v>
      </c>
      <c r="Y149" s="30">
        <f t="shared" si="312"/>
        <v>2</v>
      </c>
      <c r="Z149" s="36">
        <f t="shared" si="313"/>
        <v>75.599999999999994</v>
      </c>
      <c r="AA149" s="52"/>
      <c r="AB149" s="43">
        <f t="shared" si="314"/>
        <v>0</v>
      </c>
      <c r="AC149" s="30"/>
      <c r="AD149" s="43"/>
      <c r="AE149" s="30">
        <f t="shared" si="315"/>
        <v>0</v>
      </c>
      <c r="AF149" s="47">
        <f t="shared" si="316"/>
        <v>0</v>
      </c>
      <c r="AG149" s="30">
        <f t="shared" si="317"/>
        <v>2</v>
      </c>
      <c r="AH149" s="36">
        <f t="shared" si="318"/>
        <v>75.599999999999994</v>
      </c>
      <c r="AI149" s="52"/>
      <c r="AJ149" s="43">
        <f t="shared" si="319"/>
        <v>0</v>
      </c>
      <c r="AK149" s="30"/>
      <c r="AL149" s="43"/>
      <c r="AM149" s="30">
        <f t="shared" si="320"/>
        <v>0</v>
      </c>
      <c r="AN149" s="47">
        <f t="shared" si="321"/>
        <v>0</v>
      </c>
      <c r="AO149" s="30">
        <f t="shared" si="322"/>
        <v>2</v>
      </c>
      <c r="AP149" s="36">
        <f t="shared" si="323"/>
        <v>75.599999999999994</v>
      </c>
    </row>
    <row r="150" spans="1:42" ht="39" customHeight="1" x14ac:dyDescent="0.25">
      <c r="A150" s="92" t="s">
        <v>735</v>
      </c>
      <c r="B150" s="12" t="s">
        <v>271</v>
      </c>
      <c r="C150" s="11" t="s">
        <v>26</v>
      </c>
      <c r="D150" s="11" t="s">
        <v>272</v>
      </c>
      <c r="E150" s="13" t="s">
        <v>31</v>
      </c>
      <c r="F150" s="12">
        <v>2</v>
      </c>
      <c r="G150" s="14">
        <v>10.039999999999999</v>
      </c>
      <c r="H150" s="14">
        <v>12.29</v>
      </c>
      <c r="I150" s="14">
        <v>24.58</v>
      </c>
      <c r="J150" s="28">
        <v>1.7544610992148467E-5</v>
      </c>
      <c r="K150" s="186"/>
      <c r="L150" s="186"/>
      <c r="M150" s="186"/>
      <c r="N150" s="186"/>
      <c r="O150" s="30"/>
      <c r="P150" s="43">
        <f t="shared" si="304"/>
        <v>0</v>
      </c>
      <c r="Q150" s="30">
        <f t="shared" si="305"/>
        <v>0</v>
      </c>
      <c r="R150" s="25">
        <f t="shared" si="306"/>
        <v>0</v>
      </c>
      <c r="S150" s="30">
        <f t="shared" si="307"/>
        <v>2</v>
      </c>
      <c r="T150" s="36">
        <f t="shared" si="308"/>
        <v>24.58</v>
      </c>
      <c r="U150" s="30"/>
      <c r="V150" s="43">
        <f t="shared" si="309"/>
        <v>0</v>
      </c>
      <c r="W150" s="30">
        <f t="shared" si="310"/>
        <v>0</v>
      </c>
      <c r="X150" s="47">
        <f t="shared" si="311"/>
        <v>0</v>
      </c>
      <c r="Y150" s="30">
        <f t="shared" si="312"/>
        <v>2</v>
      </c>
      <c r="Z150" s="36">
        <f t="shared" si="313"/>
        <v>24.58</v>
      </c>
      <c r="AA150" s="52"/>
      <c r="AB150" s="43">
        <f t="shared" si="314"/>
        <v>0</v>
      </c>
      <c r="AC150" s="30"/>
      <c r="AD150" s="43"/>
      <c r="AE150" s="30">
        <f t="shared" si="315"/>
        <v>0</v>
      </c>
      <c r="AF150" s="47">
        <f t="shared" si="316"/>
        <v>0</v>
      </c>
      <c r="AG150" s="30">
        <f t="shared" si="317"/>
        <v>2</v>
      </c>
      <c r="AH150" s="36">
        <f t="shared" si="318"/>
        <v>24.58</v>
      </c>
      <c r="AI150" s="52"/>
      <c r="AJ150" s="43">
        <f t="shared" si="319"/>
        <v>0</v>
      </c>
      <c r="AK150" s="30"/>
      <c r="AL150" s="43"/>
      <c r="AM150" s="30">
        <f t="shared" si="320"/>
        <v>0</v>
      </c>
      <c r="AN150" s="47">
        <f t="shared" si="321"/>
        <v>0</v>
      </c>
      <c r="AO150" s="30">
        <f t="shared" si="322"/>
        <v>2</v>
      </c>
      <c r="AP150" s="36">
        <f t="shared" si="323"/>
        <v>24.58</v>
      </c>
    </row>
    <row r="151" spans="1:42" ht="14.25" customHeight="1" x14ac:dyDescent="0.25">
      <c r="A151" s="92" t="s">
        <v>736</v>
      </c>
      <c r="B151" s="12" t="s">
        <v>273</v>
      </c>
      <c r="C151" s="11" t="s">
        <v>26</v>
      </c>
      <c r="D151" s="11" t="s">
        <v>274</v>
      </c>
      <c r="E151" s="13" t="s">
        <v>31</v>
      </c>
      <c r="F151" s="12">
        <v>1</v>
      </c>
      <c r="G151" s="14">
        <v>9.9600000000000009</v>
      </c>
      <c r="H151" s="14">
        <v>12.19</v>
      </c>
      <c r="I151" s="14">
        <v>12.19</v>
      </c>
      <c r="J151" s="28">
        <v>8.7009279086366884E-6</v>
      </c>
      <c r="K151" s="186"/>
      <c r="L151" s="186"/>
      <c r="M151" s="186"/>
      <c r="N151" s="186"/>
      <c r="O151" s="30"/>
      <c r="P151" s="43">
        <f t="shared" si="304"/>
        <v>0</v>
      </c>
      <c r="Q151" s="30">
        <f t="shared" si="305"/>
        <v>0</v>
      </c>
      <c r="R151" s="25">
        <f t="shared" si="306"/>
        <v>0</v>
      </c>
      <c r="S151" s="30">
        <f t="shared" si="307"/>
        <v>1</v>
      </c>
      <c r="T151" s="36">
        <f t="shared" si="308"/>
        <v>12.19</v>
      </c>
      <c r="U151" s="30"/>
      <c r="V151" s="43">
        <f t="shared" si="309"/>
        <v>0</v>
      </c>
      <c r="W151" s="30">
        <f t="shared" si="310"/>
        <v>0</v>
      </c>
      <c r="X151" s="47">
        <f t="shared" si="311"/>
        <v>0</v>
      </c>
      <c r="Y151" s="30">
        <f t="shared" si="312"/>
        <v>1</v>
      </c>
      <c r="Z151" s="36">
        <f t="shared" si="313"/>
        <v>12.19</v>
      </c>
      <c r="AA151" s="52"/>
      <c r="AB151" s="43">
        <f t="shared" si="314"/>
        <v>0</v>
      </c>
      <c r="AC151" s="30"/>
      <c r="AD151" s="43"/>
      <c r="AE151" s="30">
        <f t="shared" si="315"/>
        <v>0</v>
      </c>
      <c r="AF151" s="47">
        <f t="shared" si="316"/>
        <v>0</v>
      </c>
      <c r="AG151" s="30">
        <f t="shared" si="317"/>
        <v>1</v>
      </c>
      <c r="AH151" s="36">
        <f t="shared" si="318"/>
        <v>12.19</v>
      </c>
      <c r="AI151" s="52"/>
      <c r="AJ151" s="43">
        <f t="shared" si="319"/>
        <v>0</v>
      </c>
      <c r="AK151" s="30"/>
      <c r="AL151" s="43"/>
      <c r="AM151" s="30">
        <f t="shared" si="320"/>
        <v>0</v>
      </c>
      <c r="AN151" s="47">
        <f t="shared" si="321"/>
        <v>0</v>
      </c>
      <c r="AO151" s="30">
        <f t="shared" si="322"/>
        <v>1</v>
      </c>
      <c r="AP151" s="36">
        <f t="shared" si="323"/>
        <v>12.19</v>
      </c>
    </row>
    <row r="152" spans="1:42" ht="14.25" customHeight="1" x14ac:dyDescent="0.25">
      <c r="A152" s="92" t="s">
        <v>737</v>
      </c>
      <c r="B152" s="12" t="s">
        <v>275</v>
      </c>
      <c r="C152" s="11" t="s">
        <v>26</v>
      </c>
      <c r="D152" s="11" t="s">
        <v>276</v>
      </c>
      <c r="E152" s="13" t="s">
        <v>31</v>
      </c>
      <c r="F152" s="12">
        <v>2</v>
      </c>
      <c r="G152" s="14">
        <v>21.88</v>
      </c>
      <c r="H152" s="14">
        <v>26.79</v>
      </c>
      <c r="I152" s="14">
        <v>53.58</v>
      </c>
      <c r="J152" s="28">
        <v>3.8244111349036405E-5</v>
      </c>
      <c r="K152" s="186"/>
      <c r="L152" s="186"/>
      <c r="M152" s="186"/>
      <c r="N152" s="186"/>
      <c r="O152" s="30"/>
      <c r="P152" s="43">
        <f t="shared" si="304"/>
        <v>0</v>
      </c>
      <c r="Q152" s="30">
        <f t="shared" si="305"/>
        <v>0</v>
      </c>
      <c r="R152" s="25">
        <f t="shared" si="306"/>
        <v>0</v>
      </c>
      <c r="S152" s="30">
        <f t="shared" si="307"/>
        <v>2</v>
      </c>
      <c r="T152" s="36">
        <f t="shared" si="308"/>
        <v>53.58</v>
      </c>
      <c r="U152" s="30"/>
      <c r="V152" s="43">
        <f t="shared" si="309"/>
        <v>0</v>
      </c>
      <c r="W152" s="30">
        <f t="shared" si="310"/>
        <v>0</v>
      </c>
      <c r="X152" s="47">
        <f t="shared" si="311"/>
        <v>0</v>
      </c>
      <c r="Y152" s="30">
        <f t="shared" si="312"/>
        <v>2</v>
      </c>
      <c r="Z152" s="36">
        <f t="shared" si="313"/>
        <v>53.58</v>
      </c>
      <c r="AA152" s="52"/>
      <c r="AB152" s="43">
        <f t="shared" si="314"/>
        <v>0</v>
      </c>
      <c r="AC152" s="30"/>
      <c r="AD152" s="43"/>
      <c r="AE152" s="30">
        <f t="shared" si="315"/>
        <v>0</v>
      </c>
      <c r="AF152" s="47">
        <f t="shared" si="316"/>
        <v>0</v>
      </c>
      <c r="AG152" s="30">
        <f t="shared" si="317"/>
        <v>2</v>
      </c>
      <c r="AH152" s="36">
        <f t="shared" si="318"/>
        <v>53.58</v>
      </c>
      <c r="AI152" s="52"/>
      <c r="AJ152" s="43">
        <f t="shared" si="319"/>
        <v>0</v>
      </c>
      <c r="AK152" s="30"/>
      <c r="AL152" s="43"/>
      <c r="AM152" s="30">
        <f t="shared" si="320"/>
        <v>0</v>
      </c>
      <c r="AN152" s="47">
        <f t="shared" si="321"/>
        <v>0</v>
      </c>
      <c r="AO152" s="30">
        <f t="shared" si="322"/>
        <v>2</v>
      </c>
      <c r="AP152" s="36">
        <f t="shared" si="323"/>
        <v>53.58</v>
      </c>
    </row>
    <row r="153" spans="1:42" ht="14.25" customHeight="1" x14ac:dyDescent="0.25">
      <c r="A153" s="92" t="s">
        <v>738</v>
      </c>
      <c r="B153" s="12" t="s">
        <v>277</v>
      </c>
      <c r="C153" s="11" t="s">
        <v>26</v>
      </c>
      <c r="D153" s="11" t="s">
        <v>278</v>
      </c>
      <c r="E153" s="13" t="s">
        <v>31</v>
      </c>
      <c r="F153" s="12">
        <v>5</v>
      </c>
      <c r="G153" s="14">
        <v>14.28</v>
      </c>
      <c r="H153" s="14">
        <v>17.48</v>
      </c>
      <c r="I153" s="14">
        <v>87.4</v>
      </c>
      <c r="J153" s="28">
        <v>6.238401142041399E-5</v>
      </c>
      <c r="K153" s="186"/>
      <c r="L153" s="186"/>
      <c r="M153" s="186"/>
      <c r="N153" s="186"/>
      <c r="O153" s="30"/>
      <c r="P153" s="43">
        <f t="shared" si="304"/>
        <v>0</v>
      </c>
      <c r="Q153" s="30">
        <f t="shared" si="305"/>
        <v>0</v>
      </c>
      <c r="R153" s="25">
        <f t="shared" si="306"/>
        <v>0</v>
      </c>
      <c r="S153" s="30">
        <f t="shared" si="307"/>
        <v>5</v>
      </c>
      <c r="T153" s="36">
        <f t="shared" si="308"/>
        <v>87.4</v>
      </c>
      <c r="U153" s="30"/>
      <c r="V153" s="43">
        <f t="shared" si="309"/>
        <v>0</v>
      </c>
      <c r="W153" s="30">
        <f t="shared" si="310"/>
        <v>0</v>
      </c>
      <c r="X153" s="47">
        <f t="shared" si="311"/>
        <v>0</v>
      </c>
      <c r="Y153" s="30">
        <f t="shared" si="312"/>
        <v>5</v>
      </c>
      <c r="Z153" s="36">
        <f t="shared" si="313"/>
        <v>87.4</v>
      </c>
      <c r="AA153" s="52"/>
      <c r="AB153" s="43">
        <f t="shared" si="314"/>
        <v>0</v>
      </c>
      <c r="AC153" s="30"/>
      <c r="AD153" s="43"/>
      <c r="AE153" s="30">
        <f t="shared" si="315"/>
        <v>0</v>
      </c>
      <c r="AF153" s="47">
        <f t="shared" si="316"/>
        <v>0</v>
      </c>
      <c r="AG153" s="30">
        <f t="shared" si="317"/>
        <v>5</v>
      </c>
      <c r="AH153" s="36">
        <f t="shared" si="318"/>
        <v>87.4</v>
      </c>
      <c r="AI153" s="52"/>
      <c r="AJ153" s="43">
        <f t="shared" si="319"/>
        <v>0</v>
      </c>
      <c r="AK153" s="30"/>
      <c r="AL153" s="43"/>
      <c r="AM153" s="30">
        <f t="shared" si="320"/>
        <v>0</v>
      </c>
      <c r="AN153" s="47">
        <f t="shared" si="321"/>
        <v>0</v>
      </c>
      <c r="AO153" s="30">
        <f t="shared" si="322"/>
        <v>5</v>
      </c>
      <c r="AP153" s="36">
        <f t="shared" si="323"/>
        <v>87.4</v>
      </c>
    </row>
    <row r="154" spans="1:42" ht="14.25" customHeight="1" x14ac:dyDescent="0.25">
      <c r="A154" s="92" t="s">
        <v>739</v>
      </c>
      <c r="B154" s="12" t="s">
        <v>279</v>
      </c>
      <c r="C154" s="11" t="s">
        <v>26</v>
      </c>
      <c r="D154" s="11" t="s">
        <v>280</v>
      </c>
      <c r="E154" s="13" t="s">
        <v>31</v>
      </c>
      <c r="F154" s="12">
        <v>2</v>
      </c>
      <c r="G154" s="14">
        <v>45.44</v>
      </c>
      <c r="H154" s="14">
        <v>55.65</v>
      </c>
      <c r="I154" s="14">
        <v>111.3</v>
      </c>
      <c r="J154" s="28">
        <v>7.944325481798715E-5</v>
      </c>
      <c r="K154" s="186"/>
      <c r="L154" s="186"/>
      <c r="M154" s="186"/>
      <c r="N154" s="186"/>
      <c r="O154" s="30"/>
      <c r="P154" s="43">
        <f t="shared" si="304"/>
        <v>0</v>
      </c>
      <c r="Q154" s="30">
        <f t="shared" si="305"/>
        <v>0</v>
      </c>
      <c r="R154" s="25">
        <f t="shared" si="306"/>
        <v>0</v>
      </c>
      <c r="S154" s="30">
        <f t="shared" si="307"/>
        <v>2</v>
      </c>
      <c r="T154" s="36">
        <f t="shared" si="308"/>
        <v>111.3</v>
      </c>
      <c r="U154" s="30"/>
      <c r="V154" s="43">
        <f t="shared" si="309"/>
        <v>0</v>
      </c>
      <c r="W154" s="30">
        <f t="shared" si="310"/>
        <v>0</v>
      </c>
      <c r="X154" s="47">
        <f t="shared" si="311"/>
        <v>0</v>
      </c>
      <c r="Y154" s="30">
        <f t="shared" si="312"/>
        <v>2</v>
      </c>
      <c r="Z154" s="36">
        <f t="shared" si="313"/>
        <v>111.3</v>
      </c>
      <c r="AA154" s="52"/>
      <c r="AB154" s="43">
        <f t="shared" si="314"/>
        <v>0</v>
      </c>
      <c r="AC154" s="30"/>
      <c r="AD154" s="43"/>
      <c r="AE154" s="30">
        <f t="shared" si="315"/>
        <v>0</v>
      </c>
      <c r="AF154" s="47">
        <f t="shared" si="316"/>
        <v>0</v>
      </c>
      <c r="AG154" s="30">
        <f t="shared" si="317"/>
        <v>2</v>
      </c>
      <c r="AH154" s="36">
        <f t="shared" si="318"/>
        <v>111.3</v>
      </c>
      <c r="AI154" s="52"/>
      <c r="AJ154" s="43">
        <f t="shared" si="319"/>
        <v>0</v>
      </c>
      <c r="AK154" s="30"/>
      <c r="AL154" s="43"/>
      <c r="AM154" s="30">
        <f t="shared" si="320"/>
        <v>0</v>
      </c>
      <c r="AN154" s="47">
        <f t="shared" si="321"/>
        <v>0</v>
      </c>
      <c r="AO154" s="30">
        <f t="shared" si="322"/>
        <v>2</v>
      </c>
      <c r="AP154" s="36">
        <f t="shared" si="323"/>
        <v>111.3</v>
      </c>
    </row>
    <row r="155" spans="1:42" ht="14.25" customHeight="1" x14ac:dyDescent="0.25">
      <c r="A155" s="92" t="s">
        <v>740</v>
      </c>
      <c r="B155" s="12" t="s">
        <v>281</v>
      </c>
      <c r="C155" s="11" t="s">
        <v>26</v>
      </c>
      <c r="D155" s="11" t="s">
        <v>282</v>
      </c>
      <c r="E155" s="13" t="s">
        <v>31</v>
      </c>
      <c r="F155" s="12">
        <v>6</v>
      </c>
      <c r="G155" s="14">
        <v>6.56</v>
      </c>
      <c r="H155" s="14">
        <v>8.0299999999999994</v>
      </c>
      <c r="I155" s="14">
        <v>48.18</v>
      </c>
      <c r="J155" s="28">
        <v>3.4389721627408991E-5</v>
      </c>
      <c r="K155" s="186"/>
      <c r="L155" s="186"/>
      <c r="M155" s="186"/>
      <c r="N155" s="186"/>
      <c r="O155" s="30"/>
      <c r="P155" s="43">
        <f t="shared" si="304"/>
        <v>0</v>
      </c>
      <c r="Q155" s="30">
        <f t="shared" si="305"/>
        <v>0</v>
      </c>
      <c r="R155" s="25">
        <f t="shared" si="306"/>
        <v>0</v>
      </c>
      <c r="S155" s="30">
        <f t="shared" si="307"/>
        <v>6</v>
      </c>
      <c r="T155" s="36">
        <f t="shared" si="308"/>
        <v>48.179999999999993</v>
      </c>
      <c r="U155" s="30"/>
      <c r="V155" s="43">
        <f t="shared" si="309"/>
        <v>0</v>
      </c>
      <c r="W155" s="30">
        <f t="shared" si="310"/>
        <v>0</v>
      </c>
      <c r="X155" s="47">
        <f t="shared" si="311"/>
        <v>0</v>
      </c>
      <c r="Y155" s="30">
        <f t="shared" si="312"/>
        <v>6</v>
      </c>
      <c r="Z155" s="36">
        <f t="shared" si="313"/>
        <v>48.179999999999993</v>
      </c>
      <c r="AA155" s="52"/>
      <c r="AB155" s="43">
        <f t="shared" si="314"/>
        <v>0</v>
      </c>
      <c r="AC155" s="30"/>
      <c r="AD155" s="43"/>
      <c r="AE155" s="30">
        <f t="shared" si="315"/>
        <v>0</v>
      </c>
      <c r="AF155" s="47">
        <f t="shared" si="316"/>
        <v>0</v>
      </c>
      <c r="AG155" s="30">
        <f t="shared" si="317"/>
        <v>6</v>
      </c>
      <c r="AH155" s="36">
        <f t="shared" si="318"/>
        <v>48.179999999999993</v>
      </c>
      <c r="AI155" s="52"/>
      <c r="AJ155" s="43">
        <f t="shared" si="319"/>
        <v>0</v>
      </c>
      <c r="AK155" s="30"/>
      <c r="AL155" s="43"/>
      <c r="AM155" s="30">
        <f t="shared" si="320"/>
        <v>0</v>
      </c>
      <c r="AN155" s="47">
        <f t="shared" si="321"/>
        <v>0</v>
      </c>
      <c r="AO155" s="30">
        <f t="shared" si="322"/>
        <v>6</v>
      </c>
      <c r="AP155" s="36">
        <f t="shared" si="323"/>
        <v>48.179999999999993</v>
      </c>
    </row>
    <row r="156" spans="1:42" ht="25.5" customHeight="1" x14ac:dyDescent="0.25">
      <c r="A156" s="92" t="s">
        <v>741</v>
      </c>
      <c r="B156" s="12" t="s">
        <v>283</v>
      </c>
      <c r="C156" s="11" t="s">
        <v>26</v>
      </c>
      <c r="D156" s="11" t="s">
        <v>284</v>
      </c>
      <c r="E156" s="13" t="s">
        <v>31</v>
      </c>
      <c r="F156" s="12">
        <v>4</v>
      </c>
      <c r="G156" s="14">
        <v>4.92</v>
      </c>
      <c r="H156" s="14">
        <v>6.02</v>
      </c>
      <c r="I156" s="14">
        <v>24.08</v>
      </c>
      <c r="J156" s="28">
        <v>1.7187723054960743E-5</v>
      </c>
      <c r="K156" s="186"/>
      <c r="L156" s="186"/>
      <c r="M156" s="186"/>
      <c r="N156" s="186"/>
      <c r="O156" s="30"/>
      <c r="P156" s="43">
        <f t="shared" si="304"/>
        <v>0</v>
      </c>
      <c r="Q156" s="30">
        <f t="shared" si="305"/>
        <v>0</v>
      </c>
      <c r="R156" s="25">
        <f t="shared" si="306"/>
        <v>0</v>
      </c>
      <c r="S156" s="30">
        <f t="shared" si="307"/>
        <v>4</v>
      </c>
      <c r="T156" s="36">
        <f t="shared" si="308"/>
        <v>24.08</v>
      </c>
      <c r="U156" s="30"/>
      <c r="V156" s="43">
        <f t="shared" si="309"/>
        <v>0</v>
      </c>
      <c r="W156" s="30">
        <f t="shared" si="310"/>
        <v>0</v>
      </c>
      <c r="X156" s="47">
        <f t="shared" si="311"/>
        <v>0</v>
      </c>
      <c r="Y156" s="30">
        <f t="shared" si="312"/>
        <v>4</v>
      </c>
      <c r="Z156" s="36">
        <f t="shared" si="313"/>
        <v>24.08</v>
      </c>
      <c r="AA156" s="52"/>
      <c r="AB156" s="43">
        <f t="shared" si="314"/>
        <v>0</v>
      </c>
      <c r="AC156" s="30"/>
      <c r="AD156" s="43"/>
      <c r="AE156" s="30">
        <f t="shared" si="315"/>
        <v>0</v>
      </c>
      <c r="AF156" s="47">
        <f t="shared" si="316"/>
        <v>0</v>
      </c>
      <c r="AG156" s="30">
        <f t="shared" si="317"/>
        <v>4</v>
      </c>
      <c r="AH156" s="36">
        <f t="shared" si="318"/>
        <v>24.08</v>
      </c>
      <c r="AI156" s="52"/>
      <c r="AJ156" s="43">
        <f t="shared" si="319"/>
        <v>0</v>
      </c>
      <c r="AK156" s="30"/>
      <c r="AL156" s="43"/>
      <c r="AM156" s="30">
        <f t="shared" si="320"/>
        <v>0</v>
      </c>
      <c r="AN156" s="47">
        <f t="shared" si="321"/>
        <v>0</v>
      </c>
      <c r="AO156" s="30">
        <f t="shared" si="322"/>
        <v>4</v>
      </c>
      <c r="AP156" s="36">
        <f t="shared" si="323"/>
        <v>24.08</v>
      </c>
    </row>
    <row r="157" spans="1:42" ht="25.5" customHeight="1" x14ac:dyDescent="0.25">
      <c r="A157" s="92" t="s">
        <v>742</v>
      </c>
      <c r="B157" s="12" t="s">
        <v>285</v>
      </c>
      <c r="C157" s="11" t="s">
        <v>26</v>
      </c>
      <c r="D157" s="11" t="s">
        <v>286</v>
      </c>
      <c r="E157" s="13" t="s">
        <v>31</v>
      </c>
      <c r="F157" s="12">
        <v>1</v>
      </c>
      <c r="G157" s="14">
        <v>13.69</v>
      </c>
      <c r="H157" s="14">
        <v>16.760000000000002</v>
      </c>
      <c r="I157" s="14">
        <v>16.760000000000002</v>
      </c>
      <c r="J157" s="28">
        <v>1.1962883654532478E-5</v>
      </c>
      <c r="K157" s="186"/>
      <c r="L157" s="186"/>
      <c r="M157" s="186"/>
      <c r="N157" s="186"/>
      <c r="O157" s="30"/>
      <c r="P157" s="43">
        <f t="shared" si="304"/>
        <v>0</v>
      </c>
      <c r="Q157" s="30">
        <f t="shared" si="305"/>
        <v>0</v>
      </c>
      <c r="R157" s="25">
        <f t="shared" si="306"/>
        <v>0</v>
      </c>
      <c r="S157" s="30">
        <f t="shared" si="307"/>
        <v>1</v>
      </c>
      <c r="T157" s="36">
        <f t="shared" si="308"/>
        <v>16.760000000000002</v>
      </c>
      <c r="U157" s="30"/>
      <c r="V157" s="43">
        <f t="shared" si="309"/>
        <v>0</v>
      </c>
      <c r="W157" s="30">
        <f t="shared" si="310"/>
        <v>0</v>
      </c>
      <c r="X157" s="47">
        <f t="shared" si="311"/>
        <v>0</v>
      </c>
      <c r="Y157" s="30">
        <f t="shared" si="312"/>
        <v>1</v>
      </c>
      <c r="Z157" s="36">
        <f t="shared" si="313"/>
        <v>16.760000000000002</v>
      </c>
      <c r="AA157" s="52"/>
      <c r="AB157" s="43">
        <f t="shared" si="314"/>
        <v>0</v>
      </c>
      <c r="AC157" s="30"/>
      <c r="AD157" s="43"/>
      <c r="AE157" s="30">
        <f t="shared" si="315"/>
        <v>0</v>
      </c>
      <c r="AF157" s="47">
        <f t="shared" si="316"/>
        <v>0</v>
      </c>
      <c r="AG157" s="30">
        <f t="shared" si="317"/>
        <v>1</v>
      </c>
      <c r="AH157" s="36">
        <f t="shared" si="318"/>
        <v>16.760000000000002</v>
      </c>
      <c r="AI157" s="52"/>
      <c r="AJ157" s="43">
        <f t="shared" si="319"/>
        <v>0</v>
      </c>
      <c r="AK157" s="30"/>
      <c r="AL157" s="43"/>
      <c r="AM157" s="30">
        <f t="shared" si="320"/>
        <v>0</v>
      </c>
      <c r="AN157" s="47">
        <f t="shared" si="321"/>
        <v>0</v>
      </c>
      <c r="AO157" s="30">
        <f t="shared" si="322"/>
        <v>1</v>
      </c>
      <c r="AP157" s="36">
        <f t="shared" si="323"/>
        <v>16.760000000000002</v>
      </c>
    </row>
    <row r="158" spans="1:42" ht="25.5" customHeight="1" x14ac:dyDescent="0.25">
      <c r="A158" s="92" t="s">
        <v>743</v>
      </c>
      <c r="B158" s="12" t="s">
        <v>287</v>
      </c>
      <c r="C158" s="11" t="s">
        <v>26</v>
      </c>
      <c r="D158" s="11" t="s">
        <v>288</v>
      </c>
      <c r="E158" s="13" t="s">
        <v>31</v>
      </c>
      <c r="F158" s="12">
        <v>8</v>
      </c>
      <c r="G158" s="14">
        <v>35.18</v>
      </c>
      <c r="H158" s="14">
        <v>43.08</v>
      </c>
      <c r="I158" s="14">
        <v>344.64</v>
      </c>
      <c r="J158" s="28">
        <v>2.4599571734475374E-4</v>
      </c>
      <c r="K158" s="186"/>
      <c r="L158" s="186"/>
      <c r="M158" s="186"/>
      <c r="N158" s="186"/>
      <c r="O158" s="30"/>
      <c r="P158" s="43">
        <f t="shared" si="304"/>
        <v>0</v>
      </c>
      <c r="Q158" s="30">
        <f t="shared" si="305"/>
        <v>0</v>
      </c>
      <c r="R158" s="25">
        <f t="shared" si="306"/>
        <v>0</v>
      </c>
      <c r="S158" s="30">
        <f t="shared" si="307"/>
        <v>8</v>
      </c>
      <c r="T158" s="36">
        <f t="shared" si="308"/>
        <v>344.64</v>
      </c>
      <c r="U158" s="30"/>
      <c r="V158" s="43">
        <f t="shared" si="309"/>
        <v>0</v>
      </c>
      <c r="W158" s="30">
        <f t="shared" si="310"/>
        <v>0</v>
      </c>
      <c r="X158" s="47">
        <f t="shared" si="311"/>
        <v>0</v>
      </c>
      <c r="Y158" s="30">
        <f t="shared" si="312"/>
        <v>8</v>
      </c>
      <c r="Z158" s="36">
        <f t="shared" si="313"/>
        <v>344.64</v>
      </c>
      <c r="AA158" s="52"/>
      <c r="AB158" s="43">
        <f t="shared" si="314"/>
        <v>0</v>
      </c>
      <c r="AC158" s="30"/>
      <c r="AD158" s="43"/>
      <c r="AE158" s="30">
        <f t="shared" si="315"/>
        <v>0</v>
      </c>
      <c r="AF158" s="47">
        <f t="shared" si="316"/>
        <v>0</v>
      </c>
      <c r="AG158" s="30">
        <f t="shared" si="317"/>
        <v>8</v>
      </c>
      <c r="AH158" s="36">
        <f t="shared" si="318"/>
        <v>344.64</v>
      </c>
      <c r="AI158" s="52"/>
      <c r="AJ158" s="43">
        <f t="shared" si="319"/>
        <v>0</v>
      </c>
      <c r="AK158" s="30"/>
      <c r="AL158" s="43"/>
      <c r="AM158" s="30">
        <f t="shared" si="320"/>
        <v>0</v>
      </c>
      <c r="AN158" s="47">
        <f t="shared" si="321"/>
        <v>0</v>
      </c>
      <c r="AO158" s="30">
        <f t="shared" si="322"/>
        <v>8</v>
      </c>
      <c r="AP158" s="36">
        <f t="shared" si="323"/>
        <v>344.64</v>
      </c>
    </row>
    <row r="159" spans="1:42" ht="25.5" customHeight="1" x14ac:dyDescent="0.25">
      <c r="A159" s="92" t="s">
        <v>744</v>
      </c>
      <c r="B159" s="12" t="s">
        <v>289</v>
      </c>
      <c r="C159" s="11" t="s">
        <v>26</v>
      </c>
      <c r="D159" s="11" t="s">
        <v>290</v>
      </c>
      <c r="E159" s="13" t="s">
        <v>31</v>
      </c>
      <c r="F159" s="12">
        <v>4</v>
      </c>
      <c r="G159" s="14">
        <v>50.42</v>
      </c>
      <c r="H159" s="14">
        <v>61.74</v>
      </c>
      <c r="I159" s="14">
        <v>246.96</v>
      </c>
      <c r="J159" s="28">
        <v>1.7627408993576017E-4</v>
      </c>
      <c r="K159" s="186"/>
      <c r="L159" s="186"/>
      <c r="M159" s="186"/>
      <c r="N159" s="186"/>
      <c r="O159" s="30"/>
      <c r="P159" s="43">
        <f t="shared" si="304"/>
        <v>0</v>
      </c>
      <c r="Q159" s="30">
        <f t="shared" si="305"/>
        <v>0</v>
      </c>
      <c r="R159" s="25">
        <f t="shared" si="306"/>
        <v>0</v>
      </c>
      <c r="S159" s="30">
        <f t="shared" si="307"/>
        <v>4</v>
      </c>
      <c r="T159" s="36">
        <f t="shared" si="308"/>
        <v>246.96</v>
      </c>
      <c r="U159" s="30"/>
      <c r="V159" s="43">
        <f t="shared" si="309"/>
        <v>0</v>
      </c>
      <c r="W159" s="30">
        <f t="shared" si="310"/>
        <v>0</v>
      </c>
      <c r="X159" s="47">
        <f t="shared" si="311"/>
        <v>0</v>
      </c>
      <c r="Y159" s="30">
        <f t="shared" si="312"/>
        <v>4</v>
      </c>
      <c r="Z159" s="36">
        <f t="shared" si="313"/>
        <v>246.96</v>
      </c>
      <c r="AA159" s="52"/>
      <c r="AB159" s="43">
        <f t="shared" si="314"/>
        <v>0</v>
      </c>
      <c r="AC159" s="30"/>
      <c r="AD159" s="43"/>
      <c r="AE159" s="30">
        <f t="shared" si="315"/>
        <v>0</v>
      </c>
      <c r="AF159" s="47">
        <f t="shared" si="316"/>
        <v>0</v>
      </c>
      <c r="AG159" s="30">
        <f t="shared" si="317"/>
        <v>4</v>
      </c>
      <c r="AH159" s="36">
        <f t="shared" si="318"/>
        <v>246.96</v>
      </c>
      <c r="AI159" s="52"/>
      <c r="AJ159" s="43">
        <f t="shared" si="319"/>
        <v>0</v>
      </c>
      <c r="AK159" s="30"/>
      <c r="AL159" s="43"/>
      <c r="AM159" s="30">
        <f t="shared" si="320"/>
        <v>0</v>
      </c>
      <c r="AN159" s="47">
        <f t="shared" si="321"/>
        <v>0</v>
      </c>
      <c r="AO159" s="30">
        <f t="shared" si="322"/>
        <v>4</v>
      </c>
      <c r="AP159" s="36">
        <f t="shared" si="323"/>
        <v>246.96</v>
      </c>
    </row>
    <row r="160" spans="1:42" ht="25.5" customHeight="1" x14ac:dyDescent="0.25">
      <c r="A160" s="92" t="s">
        <v>745</v>
      </c>
      <c r="B160" s="12" t="s">
        <v>291</v>
      </c>
      <c r="C160" s="11" t="s">
        <v>26</v>
      </c>
      <c r="D160" s="11" t="s">
        <v>292</v>
      </c>
      <c r="E160" s="13" t="s">
        <v>31</v>
      </c>
      <c r="F160" s="12">
        <v>2</v>
      </c>
      <c r="G160" s="14">
        <v>68.72</v>
      </c>
      <c r="H160" s="14">
        <v>84.16</v>
      </c>
      <c r="I160" s="14">
        <v>168.32</v>
      </c>
      <c r="J160" s="28">
        <v>1.2014275517487508E-4</v>
      </c>
      <c r="K160" s="186"/>
      <c r="L160" s="186"/>
      <c r="M160" s="186"/>
      <c r="N160" s="186"/>
      <c r="O160" s="30"/>
      <c r="P160" s="43">
        <f t="shared" si="304"/>
        <v>0</v>
      </c>
      <c r="Q160" s="30">
        <f t="shared" si="305"/>
        <v>0</v>
      </c>
      <c r="R160" s="25">
        <f t="shared" si="306"/>
        <v>0</v>
      </c>
      <c r="S160" s="30">
        <f t="shared" si="307"/>
        <v>2</v>
      </c>
      <c r="T160" s="36">
        <f t="shared" si="308"/>
        <v>168.32</v>
      </c>
      <c r="U160" s="30"/>
      <c r="V160" s="43">
        <f t="shared" si="309"/>
        <v>0</v>
      </c>
      <c r="W160" s="30">
        <f t="shared" si="310"/>
        <v>0</v>
      </c>
      <c r="X160" s="47">
        <f t="shared" si="311"/>
        <v>0</v>
      </c>
      <c r="Y160" s="30">
        <f t="shared" si="312"/>
        <v>2</v>
      </c>
      <c r="Z160" s="36">
        <f t="shared" si="313"/>
        <v>168.32</v>
      </c>
      <c r="AA160" s="52"/>
      <c r="AB160" s="43">
        <f t="shared" si="314"/>
        <v>0</v>
      </c>
      <c r="AC160" s="30"/>
      <c r="AD160" s="43"/>
      <c r="AE160" s="30">
        <f t="shared" si="315"/>
        <v>0</v>
      </c>
      <c r="AF160" s="47">
        <f t="shared" si="316"/>
        <v>0</v>
      </c>
      <c r="AG160" s="30">
        <f t="shared" si="317"/>
        <v>2</v>
      </c>
      <c r="AH160" s="36">
        <f t="shared" si="318"/>
        <v>168.32</v>
      </c>
      <c r="AI160" s="52"/>
      <c r="AJ160" s="43">
        <f t="shared" si="319"/>
        <v>0</v>
      </c>
      <c r="AK160" s="30"/>
      <c r="AL160" s="43"/>
      <c r="AM160" s="30">
        <f t="shared" si="320"/>
        <v>0</v>
      </c>
      <c r="AN160" s="47">
        <f t="shared" si="321"/>
        <v>0</v>
      </c>
      <c r="AO160" s="30">
        <f t="shared" si="322"/>
        <v>2</v>
      </c>
      <c r="AP160" s="36">
        <f t="shared" si="323"/>
        <v>168.32</v>
      </c>
    </row>
    <row r="161" spans="1:42" ht="25.5" customHeight="1" x14ac:dyDescent="0.25">
      <c r="A161" s="92" t="s">
        <v>746</v>
      </c>
      <c r="B161" s="12" t="s">
        <v>293</v>
      </c>
      <c r="C161" s="11" t="s">
        <v>26</v>
      </c>
      <c r="D161" s="11" t="s">
        <v>294</v>
      </c>
      <c r="E161" s="13" t="s">
        <v>31</v>
      </c>
      <c r="F161" s="12">
        <v>1</v>
      </c>
      <c r="G161" s="14">
        <v>87.01</v>
      </c>
      <c r="H161" s="14">
        <v>106.56</v>
      </c>
      <c r="I161" s="14">
        <v>106.56</v>
      </c>
      <c r="J161" s="28">
        <v>7.6059957173447542E-5</v>
      </c>
      <c r="K161" s="186"/>
      <c r="L161" s="186"/>
      <c r="M161" s="186"/>
      <c r="N161" s="186"/>
      <c r="O161" s="30"/>
      <c r="P161" s="43">
        <f t="shared" si="304"/>
        <v>0</v>
      </c>
      <c r="Q161" s="30">
        <f t="shared" si="305"/>
        <v>0</v>
      </c>
      <c r="R161" s="25">
        <f t="shared" si="306"/>
        <v>0</v>
      </c>
      <c r="S161" s="30">
        <f t="shared" si="307"/>
        <v>1</v>
      </c>
      <c r="T161" s="36">
        <f t="shared" si="308"/>
        <v>106.56</v>
      </c>
      <c r="U161" s="30"/>
      <c r="V161" s="43">
        <f t="shared" si="309"/>
        <v>0</v>
      </c>
      <c r="W161" s="30">
        <f t="shared" si="310"/>
        <v>0</v>
      </c>
      <c r="X161" s="47">
        <f t="shared" si="311"/>
        <v>0</v>
      </c>
      <c r="Y161" s="30">
        <f t="shared" si="312"/>
        <v>1</v>
      </c>
      <c r="Z161" s="36">
        <f t="shared" si="313"/>
        <v>106.56</v>
      </c>
      <c r="AA161" s="52"/>
      <c r="AB161" s="43">
        <f t="shared" si="314"/>
        <v>0</v>
      </c>
      <c r="AC161" s="30"/>
      <c r="AD161" s="43"/>
      <c r="AE161" s="30">
        <f t="shared" si="315"/>
        <v>0</v>
      </c>
      <c r="AF161" s="47">
        <f t="shared" si="316"/>
        <v>0</v>
      </c>
      <c r="AG161" s="30">
        <f t="shared" si="317"/>
        <v>1</v>
      </c>
      <c r="AH161" s="36">
        <f t="shared" si="318"/>
        <v>106.56</v>
      </c>
      <c r="AI161" s="52"/>
      <c r="AJ161" s="43">
        <f t="shared" si="319"/>
        <v>0</v>
      </c>
      <c r="AK161" s="30"/>
      <c r="AL161" s="43"/>
      <c r="AM161" s="30">
        <f t="shared" si="320"/>
        <v>0</v>
      </c>
      <c r="AN161" s="47">
        <f t="shared" si="321"/>
        <v>0</v>
      </c>
      <c r="AO161" s="30">
        <f t="shared" si="322"/>
        <v>1</v>
      </c>
      <c r="AP161" s="36">
        <f t="shared" si="323"/>
        <v>106.56</v>
      </c>
    </row>
    <row r="162" spans="1:42" ht="25.5" customHeight="1" x14ac:dyDescent="0.25">
      <c r="A162" s="92" t="s">
        <v>747</v>
      </c>
      <c r="B162" s="12" t="s">
        <v>295</v>
      </c>
      <c r="C162" s="11" t="s">
        <v>26</v>
      </c>
      <c r="D162" s="11" t="s">
        <v>296</v>
      </c>
      <c r="E162" s="13" t="s">
        <v>31</v>
      </c>
      <c r="F162" s="12">
        <v>1</v>
      </c>
      <c r="G162" s="14">
        <v>120.31</v>
      </c>
      <c r="H162" s="14">
        <v>147.34</v>
      </c>
      <c r="I162" s="14">
        <v>147.34</v>
      </c>
      <c r="J162" s="28">
        <v>1.0516773733047823E-4</v>
      </c>
      <c r="K162" s="186"/>
      <c r="L162" s="186"/>
      <c r="M162" s="186"/>
      <c r="N162" s="186"/>
      <c r="O162" s="30"/>
      <c r="P162" s="43">
        <f t="shared" si="304"/>
        <v>0</v>
      </c>
      <c r="Q162" s="30">
        <f t="shared" si="305"/>
        <v>0</v>
      </c>
      <c r="R162" s="25">
        <f t="shared" si="306"/>
        <v>0</v>
      </c>
      <c r="S162" s="30">
        <f t="shared" si="307"/>
        <v>1</v>
      </c>
      <c r="T162" s="36">
        <f t="shared" si="308"/>
        <v>147.34</v>
      </c>
      <c r="U162" s="30"/>
      <c r="V162" s="43">
        <f t="shared" si="309"/>
        <v>0</v>
      </c>
      <c r="W162" s="30">
        <f t="shared" si="310"/>
        <v>0</v>
      </c>
      <c r="X162" s="47">
        <f t="shared" si="311"/>
        <v>0</v>
      </c>
      <c r="Y162" s="30">
        <f t="shared" si="312"/>
        <v>1</v>
      </c>
      <c r="Z162" s="36">
        <f t="shared" si="313"/>
        <v>147.34</v>
      </c>
      <c r="AA162" s="52"/>
      <c r="AB162" s="43">
        <f t="shared" si="314"/>
        <v>0</v>
      </c>
      <c r="AC162" s="30"/>
      <c r="AD162" s="43"/>
      <c r="AE162" s="30">
        <f t="shared" si="315"/>
        <v>0</v>
      </c>
      <c r="AF162" s="47">
        <f t="shared" si="316"/>
        <v>0</v>
      </c>
      <c r="AG162" s="30">
        <f t="shared" si="317"/>
        <v>1</v>
      </c>
      <c r="AH162" s="36">
        <f t="shared" si="318"/>
        <v>147.34</v>
      </c>
      <c r="AI162" s="52"/>
      <c r="AJ162" s="43">
        <f t="shared" si="319"/>
        <v>0</v>
      </c>
      <c r="AK162" s="30"/>
      <c r="AL162" s="43"/>
      <c r="AM162" s="30">
        <f t="shared" si="320"/>
        <v>0</v>
      </c>
      <c r="AN162" s="47">
        <f t="shared" si="321"/>
        <v>0</v>
      </c>
      <c r="AO162" s="30">
        <f t="shared" si="322"/>
        <v>1</v>
      </c>
      <c r="AP162" s="36">
        <f t="shared" si="323"/>
        <v>147.34</v>
      </c>
    </row>
    <row r="163" spans="1:42" ht="25.5" customHeight="1" x14ac:dyDescent="0.25">
      <c r="A163" s="92" t="s">
        <v>748</v>
      </c>
      <c r="B163" s="12" t="s">
        <v>297</v>
      </c>
      <c r="C163" s="11" t="s">
        <v>26</v>
      </c>
      <c r="D163" s="11" t="s">
        <v>298</v>
      </c>
      <c r="E163" s="13" t="s">
        <v>31</v>
      </c>
      <c r="F163" s="12">
        <v>2</v>
      </c>
      <c r="G163" s="14">
        <v>241.42</v>
      </c>
      <c r="H163" s="14">
        <v>295.66000000000003</v>
      </c>
      <c r="I163" s="14">
        <v>591.32000000000005</v>
      </c>
      <c r="J163" s="28">
        <v>4.220699500356888E-4</v>
      </c>
      <c r="K163" s="186"/>
      <c r="L163" s="186"/>
      <c r="M163" s="186"/>
      <c r="N163" s="186"/>
      <c r="O163" s="30"/>
      <c r="P163" s="43">
        <f t="shared" si="304"/>
        <v>0</v>
      </c>
      <c r="Q163" s="30">
        <f t="shared" si="305"/>
        <v>0</v>
      </c>
      <c r="R163" s="25">
        <f t="shared" si="306"/>
        <v>0</v>
      </c>
      <c r="S163" s="30">
        <f t="shared" si="307"/>
        <v>2</v>
      </c>
      <c r="T163" s="36">
        <f t="shared" si="308"/>
        <v>591.32000000000005</v>
      </c>
      <c r="U163" s="30"/>
      <c r="V163" s="43">
        <f t="shared" si="309"/>
        <v>0</v>
      </c>
      <c r="W163" s="30">
        <f t="shared" si="310"/>
        <v>0</v>
      </c>
      <c r="X163" s="47">
        <f t="shared" si="311"/>
        <v>0</v>
      </c>
      <c r="Y163" s="30">
        <f t="shared" si="312"/>
        <v>2</v>
      </c>
      <c r="Z163" s="36">
        <f t="shared" si="313"/>
        <v>591.32000000000005</v>
      </c>
      <c r="AA163" s="52"/>
      <c r="AB163" s="43">
        <f t="shared" si="314"/>
        <v>0</v>
      </c>
      <c r="AC163" s="30"/>
      <c r="AD163" s="43"/>
      <c r="AE163" s="30">
        <f t="shared" si="315"/>
        <v>0</v>
      </c>
      <c r="AF163" s="47">
        <f t="shared" si="316"/>
        <v>0</v>
      </c>
      <c r="AG163" s="30">
        <f t="shared" si="317"/>
        <v>2</v>
      </c>
      <c r="AH163" s="36">
        <f t="shared" si="318"/>
        <v>591.32000000000005</v>
      </c>
      <c r="AI163" s="52"/>
      <c r="AJ163" s="43">
        <f t="shared" si="319"/>
        <v>0</v>
      </c>
      <c r="AK163" s="30"/>
      <c r="AL163" s="43"/>
      <c r="AM163" s="30">
        <f t="shared" si="320"/>
        <v>0</v>
      </c>
      <c r="AN163" s="47">
        <f t="shared" si="321"/>
        <v>0</v>
      </c>
      <c r="AO163" s="30">
        <f t="shared" si="322"/>
        <v>2</v>
      </c>
      <c r="AP163" s="36">
        <f t="shared" si="323"/>
        <v>591.32000000000005</v>
      </c>
    </row>
    <row r="164" spans="1:42" ht="39" customHeight="1" x14ac:dyDescent="0.25">
      <c r="A164" s="92" t="s">
        <v>749</v>
      </c>
      <c r="B164" s="12" t="s">
        <v>299</v>
      </c>
      <c r="C164" s="11" t="s">
        <v>26</v>
      </c>
      <c r="D164" s="11" t="s">
        <v>300</v>
      </c>
      <c r="E164" s="13" t="s">
        <v>31</v>
      </c>
      <c r="F164" s="12">
        <v>1</v>
      </c>
      <c r="G164" s="14">
        <v>73.61</v>
      </c>
      <c r="H164" s="14">
        <v>90.15</v>
      </c>
      <c r="I164" s="14">
        <v>90.15</v>
      </c>
      <c r="J164" s="28">
        <v>6.4346895074946463E-5</v>
      </c>
      <c r="K164" s="186"/>
      <c r="L164" s="186"/>
      <c r="M164" s="186"/>
      <c r="N164" s="186"/>
      <c r="O164" s="30"/>
      <c r="P164" s="43">
        <f t="shared" si="304"/>
        <v>0</v>
      </c>
      <c r="Q164" s="30">
        <f t="shared" si="305"/>
        <v>0</v>
      </c>
      <c r="R164" s="25">
        <f t="shared" si="306"/>
        <v>0</v>
      </c>
      <c r="S164" s="30">
        <f t="shared" si="307"/>
        <v>1</v>
      </c>
      <c r="T164" s="36">
        <f t="shared" si="308"/>
        <v>90.15</v>
      </c>
      <c r="U164" s="30"/>
      <c r="V164" s="43">
        <f t="shared" si="309"/>
        <v>0</v>
      </c>
      <c r="W164" s="30">
        <f t="shared" si="310"/>
        <v>0</v>
      </c>
      <c r="X164" s="47">
        <f t="shared" si="311"/>
        <v>0</v>
      </c>
      <c r="Y164" s="30">
        <f t="shared" si="312"/>
        <v>1</v>
      </c>
      <c r="Z164" s="36">
        <f t="shared" si="313"/>
        <v>90.15</v>
      </c>
      <c r="AA164" s="52"/>
      <c r="AB164" s="43">
        <f t="shared" si="314"/>
        <v>0</v>
      </c>
      <c r="AC164" s="30"/>
      <c r="AD164" s="43"/>
      <c r="AE164" s="30">
        <f t="shared" si="315"/>
        <v>0</v>
      </c>
      <c r="AF164" s="47">
        <f t="shared" si="316"/>
        <v>0</v>
      </c>
      <c r="AG164" s="30">
        <f t="shared" si="317"/>
        <v>1</v>
      </c>
      <c r="AH164" s="36">
        <f t="shared" si="318"/>
        <v>90.15</v>
      </c>
      <c r="AI164" s="52"/>
      <c r="AJ164" s="43">
        <f t="shared" si="319"/>
        <v>0</v>
      </c>
      <c r="AK164" s="30"/>
      <c r="AL164" s="43"/>
      <c r="AM164" s="30">
        <f t="shared" si="320"/>
        <v>0</v>
      </c>
      <c r="AN164" s="47">
        <f t="shared" si="321"/>
        <v>0</v>
      </c>
      <c r="AO164" s="30">
        <f t="shared" si="322"/>
        <v>1</v>
      </c>
      <c r="AP164" s="36">
        <f t="shared" si="323"/>
        <v>90.15</v>
      </c>
    </row>
    <row r="165" spans="1:42" ht="25.5" customHeight="1" x14ac:dyDescent="0.25">
      <c r="A165" s="92" t="s">
        <v>750</v>
      </c>
      <c r="B165" s="12" t="s">
        <v>301</v>
      </c>
      <c r="C165" s="11" t="s">
        <v>109</v>
      </c>
      <c r="D165" s="11" t="s">
        <v>302</v>
      </c>
      <c r="E165" s="13" t="s">
        <v>31</v>
      </c>
      <c r="F165" s="12">
        <v>1</v>
      </c>
      <c r="G165" s="14">
        <v>23144.81</v>
      </c>
      <c r="H165" s="14">
        <v>28345.439999999999</v>
      </c>
      <c r="I165" s="14">
        <v>28345.439999999999</v>
      </c>
      <c r="J165" s="28">
        <v>2.0232291220556746E-2</v>
      </c>
      <c r="K165" s="186"/>
      <c r="L165" s="186"/>
      <c r="M165" s="186"/>
      <c r="N165" s="186"/>
      <c r="O165" s="30"/>
      <c r="P165" s="43">
        <f t="shared" si="304"/>
        <v>0</v>
      </c>
      <c r="Q165" s="30">
        <f t="shared" si="305"/>
        <v>0</v>
      </c>
      <c r="R165" s="25">
        <f t="shared" si="306"/>
        <v>0</v>
      </c>
      <c r="S165" s="30">
        <f t="shared" si="307"/>
        <v>1</v>
      </c>
      <c r="T165" s="36">
        <f t="shared" si="308"/>
        <v>28345.439999999999</v>
      </c>
      <c r="U165" s="30"/>
      <c r="V165" s="43">
        <f t="shared" si="309"/>
        <v>0</v>
      </c>
      <c r="W165" s="30">
        <f t="shared" si="310"/>
        <v>0</v>
      </c>
      <c r="X165" s="47">
        <f t="shared" si="311"/>
        <v>0</v>
      </c>
      <c r="Y165" s="30">
        <f t="shared" si="312"/>
        <v>1</v>
      </c>
      <c r="Z165" s="36">
        <f t="shared" si="313"/>
        <v>28345.439999999999</v>
      </c>
      <c r="AA165" s="52"/>
      <c r="AB165" s="43">
        <f t="shared" si="314"/>
        <v>0</v>
      </c>
      <c r="AC165" s="30"/>
      <c r="AD165" s="43"/>
      <c r="AE165" s="30">
        <f t="shared" si="315"/>
        <v>0</v>
      </c>
      <c r="AF165" s="47">
        <f t="shared" si="316"/>
        <v>0</v>
      </c>
      <c r="AG165" s="30">
        <f t="shared" si="317"/>
        <v>1</v>
      </c>
      <c r="AH165" s="36">
        <f t="shared" si="318"/>
        <v>28345.439999999999</v>
      </c>
      <c r="AI165" s="52"/>
      <c r="AJ165" s="43">
        <f t="shared" si="319"/>
        <v>0</v>
      </c>
      <c r="AK165" s="30"/>
      <c r="AL165" s="43"/>
      <c r="AM165" s="30">
        <f t="shared" si="320"/>
        <v>0</v>
      </c>
      <c r="AN165" s="47">
        <f t="shared" si="321"/>
        <v>0</v>
      </c>
      <c r="AO165" s="30">
        <f t="shared" si="322"/>
        <v>1</v>
      </c>
      <c r="AP165" s="36">
        <f t="shared" si="323"/>
        <v>28345.439999999999</v>
      </c>
    </row>
    <row r="166" spans="1:42" ht="14.25" customHeight="1" x14ac:dyDescent="0.25">
      <c r="A166" s="91" t="s">
        <v>303</v>
      </c>
      <c r="B166" s="8"/>
      <c r="C166" s="8"/>
      <c r="D166" s="8" t="s">
        <v>304</v>
      </c>
      <c r="E166" s="8"/>
      <c r="F166" s="9"/>
      <c r="G166" s="8"/>
      <c r="H166" s="8"/>
      <c r="I166" s="10">
        <v>32744.34</v>
      </c>
      <c r="J166" s="27">
        <v>2.3372119914346894E-2</v>
      </c>
      <c r="K166" s="185"/>
      <c r="L166" s="185"/>
      <c r="M166" s="185"/>
      <c r="N166" s="185"/>
      <c r="O166" s="32"/>
      <c r="P166" s="44"/>
      <c r="Q166" s="22"/>
      <c r="R166" s="22"/>
      <c r="S166" s="32"/>
      <c r="T166" s="37">
        <f>SUM(T167:T184)</f>
        <v>32744.343199999999</v>
      </c>
      <c r="U166" s="32"/>
      <c r="V166" s="44"/>
      <c r="W166" s="32"/>
      <c r="X166" s="48"/>
      <c r="Y166" s="32"/>
      <c r="Z166" s="37">
        <f>SUM(Z167:Z184)</f>
        <v>32744.343199999999</v>
      </c>
      <c r="AA166" s="53"/>
      <c r="AB166" s="44"/>
      <c r="AC166" s="32"/>
      <c r="AD166" s="44"/>
      <c r="AE166" s="32"/>
      <c r="AF166" s="48"/>
      <c r="AG166" s="32"/>
      <c r="AH166" s="37">
        <f>SUM(AH167:AH184)</f>
        <v>32744.343199999999</v>
      </c>
      <c r="AI166" s="53"/>
      <c r="AJ166" s="44"/>
      <c r="AK166" s="32"/>
      <c r="AL166" s="44"/>
      <c r="AM166" s="32"/>
      <c r="AN166" s="48"/>
      <c r="AO166" s="32"/>
      <c r="AP166" s="37">
        <f>SUM(AP167:AP184)</f>
        <v>32744.343199999999</v>
      </c>
    </row>
    <row r="167" spans="1:42" ht="39" customHeight="1" x14ac:dyDescent="0.25">
      <c r="A167" s="92" t="s">
        <v>751</v>
      </c>
      <c r="B167" s="12" t="s">
        <v>305</v>
      </c>
      <c r="C167" s="11" t="s">
        <v>26</v>
      </c>
      <c r="D167" s="11" t="s">
        <v>306</v>
      </c>
      <c r="E167" s="13" t="s">
        <v>116</v>
      </c>
      <c r="F167" s="12">
        <v>28</v>
      </c>
      <c r="G167" s="14">
        <v>14.67</v>
      </c>
      <c r="H167" s="14">
        <v>17.96</v>
      </c>
      <c r="I167" s="14">
        <v>502.88</v>
      </c>
      <c r="J167" s="28">
        <v>3.5894361170592433E-4</v>
      </c>
      <c r="K167" s="186"/>
      <c r="L167" s="186"/>
      <c r="M167" s="186"/>
      <c r="N167" s="186"/>
      <c r="O167" s="30"/>
      <c r="P167" s="43">
        <f t="shared" ref="P167:P184" si="324">O167*H167</f>
        <v>0</v>
      </c>
      <c r="Q167" s="30">
        <f t="shared" ref="Q167:Q184" si="325">O167</f>
        <v>0</v>
      </c>
      <c r="R167" s="25">
        <f t="shared" ref="R167:R184" si="326">Q167/F167</f>
        <v>0</v>
      </c>
      <c r="S167" s="30">
        <f t="shared" ref="S167:S184" si="327">F167-Q167</f>
        <v>28</v>
      </c>
      <c r="T167" s="36">
        <f t="shared" ref="T167:T184" si="328">S167*H167</f>
        <v>502.88</v>
      </c>
      <c r="U167" s="30"/>
      <c r="V167" s="43">
        <f t="shared" ref="V167:V184" si="329">U167*H167</f>
        <v>0</v>
      </c>
      <c r="W167" s="30">
        <f t="shared" ref="W167:W184" si="330">Q167+U167</f>
        <v>0</v>
      </c>
      <c r="X167" s="47">
        <f t="shared" si="311"/>
        <v>0</v>
      </c>
      <c r="Y167" s="30">
        <f t="shared" ref="Y167:Y184" si="331">F167-W167</f>
        <v>28</v>
      </c>
      <c r="Z167" s="36">
        <f t="shared" ref="Z167:Z184" si="332">Y167*H167</f>
        <v>502.88</v>
      </c>
      <c r="AA167" s="52"/>
      <c r="AB167" s="43">
        <f t="shared" ref="AB167:AB184" si="333">AA167*H167</f>
        <v>0</v>
      </c>
      <c r="AC167" s="30"/>
      <c r="AD167" s="43"/>
      <c r="AE167" s="30">
        <f t="shared" ref="AE167:AE184" si="334">W167+AC167</f>
        <v>0</v>
      </c>
      <c r="AF167" s="47">
        <f t="shared" si="316"/>
        <v>0</v>
      </c>
      <c r="AG167" s="30">
        <f t="shared" ref="AG167:AG184" si="335">F167-AE167</f>
        <v>28</v>
      </c>
      <c r="AH167" s="36">
        <f t="shared" ref="AH167:AH184" si="336">AG167*H167</f>
        <v>502.88</v>
      </c>
      <c r="AI167" s="52"/>
      <c r="AJ167" s="43">
        <f t="shared" ref="AJ167:AJ184" si="337">AI167*T167</f>
        <v>0</v>
      </c>
      <c r="AK167" s="30"/>
      <c r="AL167" s="43"/>
      <c r="AM167" s="30">
        <f t="shared" ref="AM167:AM184" si="338">AE167+AK167</f>
        <v>0</v>
      </c>
      <c r="AN167" s="47">
        <f t="shared" si="321"/>
        <v>0</v>
      </c>
      <c r="AO167" s="30">
        <f t="shared" ref="AO167:AO184" si="339">F167-AM167</f>
        <v>28</v>
      </c>
      <c r="AP167" s="36">
        <f t="shared" ref="AP167:AP184" si="340">AO167*H167</f>
        <v>502.88</v>
      </c>
    </row>
    <row r="168" spans="1:42" ht="39" customHeight="1" x14ac:dyDescent="0.25">
      <c r="A168" s="92" t="s">
        <v>752</v>
      </c>
      <c r="B168" s="12" t="s">
        <v>307</v>
      </c>
      <c r="C168" s="11" t="s">
        <v>26</v>
      </c>
      <c r="D168" s="11" t="s">
        <v>308</v>
      </c>
      <c r="E168" s="13" t="s">
        <v>116</v>
      </c>
      <c r="F168" s="12">
        <v>25</v>
      </c>
      <c r="G168" s="14">
        <v>18.93</v>
      </c>
      <c r="H168" s="14">
        <v>23.18</v>
      </c>
      <c r="I168" s="14">
        <v>579.5</v>
      </c>
      <c r="J168" s="28">
        <v>4.1363311920057102E-4</v>
      </c>
      <c r="K168" s="186"/>
      <c r="L168" s="186"/>
      <c r="M168" s="186"/>
      <c r="N168" s="186"/>
      <c r="O168" s="30"/>
      <c r="P168" s="43">
        <f t="shared" si="324"/>
        <v>0</v>
      </c>
      <c r="Q168" s="30">
        <f t="shared" si="325"/>
        <v>0</v>
      </c>
      <c r="R168" s="25">
        <f t="shared" si="326"/>
        <v>0</v>
      </c>
      <c r="S168" s="30">
        <f t="shared" si="327"/>
        <v>25</v>
      </c>
      <c r="T168" s="36">
        <f t="shared" si="328"/>
        <v>579.5</v>
      </c>
      <c r="U168" s="30"/>
      <c r="V168" s="43">
        <f t="shared" si="329"/>
        <v>0</v>
      </c>
      <c r="W168" s="30">
        <f t="shared" si="330"/>
        <v>0</v>
      </c>
      <c r="X168" s="47">
        <f t="shared" si="311"/>
        <v>0</v>
      </c>
      <c r="Y168" s="30">
        <f t="shared" si="331"/>
        <v>25</v>
      </c>
      <c r="Z168" s="36">
        <f t="shared" si="332"/>
        <v>579.5</v>
      </c>
      <c r="AA168" s="52"/>
      <c r="AB168" s="43">
        <f t="shared" si="333"/>
        <v>0</v>
      </c>
      <c r="AC168" s="30"/>
      <c r="AD168" s="43"/>
      <c r="AE168" s="30">
        <f t="shared" si="334"/>
        <v>0</v>
      </c>
      <c r="AF168" s="47">
        <f t="shared" si="316"/>
        <v>0</v>
      </c>
      <c r="AG168" s="30">
        <f t="shared" si="335"/>
        <v>25</v>
      </c>
      <c r="AH168" s="36">
        <f t="shared" si="336"/>
        <v>579.5</v>
      </c>
      <c r="AI168" s="52"/>
      <c r="AJ168" s="43">
        <f t="shared" si="337"/>
        <v>0</v>
      </c>
      <c r="AK168" s="30"/>
      <c r="AL168" s="43"/>
      <c r="AM168" s="30">
        <f t="shared" si="338"/>
        <v>0</v>
      </c>
      <c r="AN168" s="47">
        <f t="shared" si="321"/>
        <v>0</v>
      </c>
      <c r="AO168" s="30">
        <f t="shared" si="339"/>
        <v>25</v>
      </c>
      <c r="AP168" s="36">
        <f t="shared" si="340"/>
        <v>579.5</v>
      </c>
    </row>
    <row r="169" spans="1:42" ht="39" customHeight="1" x14ac:dyDescent="0.25">
      <c r="A169" s="92" t="s">
        <v>753</v>
      </c>
      <c r="B169" s="12" t="s">
        <v>309</v>
      </c>
      <c r="C169" s="11" t="s">
        <v>26</v>
      </c>
      <c r="D169" s="11" t="s">
        <v>310</v>
      </c>
      <c r="E169" s="13" t="s">
        <v>116</v>
      </c>
      <c r="F169" s="12">
        <v>77</v>
      </c>
      <c r="G169" s="14">
        <v>19.78</v>
      </c>
      <c r="H169" s="14">
        <v>24.22</v>
      </c>
      <c r="I169" s="14">
        <v>1864.94</v>
      </c>
      <c r="J169" s="28">
        <v>1.3311491791577444E-3</v>
      </c>
      <c r="K169" s="186"/>
      <c r="L169" s="186"/>
      <c r="M169" s="186"/>
      <c r="N169" s="186"/>
      <c r="O169" s="30"/>
      <c r="P169" s="43">
        <f t="shared" si="324"/>
        <v>0</v>
      </c>
      <c r="Q169" s="30">
        <f t="shared" si="325"/>
        <v>0</v>
      </c>
      <c r="R169" s="25">
        <f t="shared" si="326"/>
        <v>0</v>
      </c>
      <c r="S169" s="30">
        <f t="shared" si="327"/>
        <v>77</v>
      </c>
      <c r="T169" s="36">
        <f t="shared" si="328"/>
        <v>1864.9399999999998</v>
      </c>
      <c r="U169" s="30"/>
      <c r="V169" s="43">
        <f t="shared" si="329"/>
        <v>0</v>
      </c>
      <c r="W169" s="30">
        <f t="shared" si="330"/>
        <v>0</v>
      </c>
      <c r="X169" s="47">
        <f t="shared" si="311"/>
        <v>0</v>
      </c>
      <c r="Y169" s="30">
        <f t="shared" si="331"/>
        <v>77</v>
      </c>
      <c r="Z169" s="36">
        <f t="shared" si="332"/>
        <v>1864.9399999999998</v>
      </c>
      <c r="AA169" s="52"/>
      <c r="AB169" s="43">
        <f t="shared" si="333"/>
        <v>0</v>
      </c>
      <c r="AC169" s="30"/>
      <c r="AD169" s="43"/>
      <c r="AE169" s="30">
        <f t="shared" si="334"/>
        <v>0</v>
      </c>
      <c r="AF169" s="47">
        <f t="shared" si="316"/>
        <v>0</v>
      </c>
      <c r="AG169" s="30">
        <f t="shared" si="335"/>
        <v>77</v>
      </c>
      <c r="AH169" s="36">
        <f t="shared" si="336"/>
        <v>1864.9399999999998</v>
      </c>
      <c r="AI169" s="52"/>
      <c r="AJ169" s="43">
        <f t="shared" si="337"/>
        <v>0</v>
      </c>
      <c r="AK169" s="30"/>
      <c r="AL169" s="43"/>
      <c r="AM169" s="30">
        <f t="shared" si="338"/>
        <v>0</v>
      </c>
      <c r="AN169" s="47">
        <f t="shared" si="321"/>
        <v>0</v>
      </c>
      <c r="AO169" s="30">
        <f t="shared" si="339"/>
        <v>77</v>
      </c>
      <c r="AP169" s="36">
        <f t="shared" si="340"/>
        <v>1864.9399999999998</v>
      </c>
    </row>
    <row r="170" spans="1:42" ht="14.25" customHeight="1" x14ac:dyDescent="0.25">
      <c r="A170" s="92" t="s">
        <v>754</v>
      </c>
      <c r="B170" s="12" t="s">
        <v>311</v>
      </c>
      <c r="C170" s="11" t="s">
        <v>26</v>
      </c>
      <c r="D170" s="11" t="s">
        <v>312</v>
      </c>
      <c r="E170" s="13" t="s">
        <v>116</v>
      </c>
      <c r="F170" s="12">
        <v>2</v>
      </c>
      <c r="G170" s="14">
        <v>41.63</v>
      </c>
      <c r="H170" s="14">
        <v>50.98</v>
      </c>
      <c r="I170" s="14">
        <v>101.96</v>
      </c>
      <c r="J170" s="28">
        <v>7.2776588151320489E-5</v>
      </c>
      <c r="K170" s="186"/>
      <c r="L170" s="186"/>
      <c r="M170" s="186"/>
      <c r="N170" s="186"/>
      <c r="O170" s="30"/>
      <c r="P170" s="43">
        <f t="shared" si="324"/>
        <v>0</v>
      </c>
      <c r="Q170" s="30">
        <f t="shared" si="325"/>
        <v>0</v>
      </c>
      <c r="R170" s="25">
        <f t="shared" si="326"/>
        <v>0</v>
      </c>
      <c r="S170" s="30">
        <f t="shared" si="327"/>
        <v>2</v>
      </c>
      <c r="T170" s="36">
        <f t="shared" si="328"/>
        <v>101.96</v>
      </c>
      <c r="U170" s="30"/>
      <c r="V170" s="43">
        <f t="shared" si="329"/>
        <v>0</v>
      </c>
      <c r="W170" s="30">
        <f t="shared" si="330"/>
        <v>0</v>
      </c>
      <c r="X170" s="47">
        <f t="shared" si="311"/>
        <v>0</v>
      </c>
      <c r="Y170" s="30">
        <f t="shared" si="331"/>
        <v>2</v>
      </c>
      <c r="Z170" s="36">
        <f t="shared" si="332"/>
        <v>101.96</v>
      </c>
      <c r="AA170" s="52"/>
      <c r="AB170" s="43">
        <f t="shared" si="333"/>
        <v>0</v>
      </c>
      <c r="AC170" s="30"/>
      <c r="AD170" s="43"/>
      <c r="AE170" s="30">
        <f t="shared" si="334"/>
        <v>0</v>
      </c>
      <c r="AF170" s="47">
        <f t="shared" si="316"/>
        <v>0</v>
      </c>
      <c r="AG170" s="30">
        <f t="shared" si="335"/>
        <v>2</v>
      </c>
      <c r="AH170" s="36">
        <f t="shared" si="336"/>
        <v>101.96</v>
      </c>
      <c r="AI170" s="52"/>
      <c r="AJ170" s="43">
        <f t="shared" si="337"/>
        <v>0</v>
      </c>
      <c r="AK170" s="30"/>
      <c r="AL170" s="43"/>
      <c r="AM170" s="30">
        <f t="shared" si="338"/>
        <v>0</v>
      </c>
      <c r="AN170" s="47">
        <f t="shared" si="321"/>
        <v>0</v>
      </c>
      <c r="AO170" s="30">
        <f t="shared" si="339"/>
        <v>2</v>
      </c>
      <c r="AP170" s="36">
        <f t="shared" si="340"/>
        <v>101.96</v>
      </c>
    </row>
    <row r="171" spans="1:42" ht="14.25" customHeight="1" x14ac:dyDescent="0.25">
      <c r="A171" s="92" t="s">
        <v>755</v>
      </c>
      <c r="B171" s="12" t="s">
        <v>313</v>
      </c>
      <c r="C171" s="11" t="s">
        <v>26</v>
      </c>
      <c r="D171" s="11" t="s">
        <v>314</v>
      </c>
      <c r="E171" s="13" t="s">
        <v>31</v>
      </c>
      <c r="F171" s="12">
        <v>4</v>
      </c>
      <c r="G171" s="14">
        <v>6.87</v>
      </c>
      <c r="H171" s="14">
        <v>8.41</v>
      </c>
      <c r="I171" s="14">
        <v>33.64</v>
      </c>
      <c r="J171" s="28">
        <v>2.4011420413990006E-5</v>
      </c>
      <c r="K171" s="186"/>
      <c r="L171" s="186"/>
      <c r="M171" s="186"/>
      <c r="N171" s="186"/>
      <c r="O171" s="30"/>
      <c r="P171" s="43">
        <f t="shared" si="324"/>
        <v>0</v>
      </c>
      <c r="Q171" s="30">
        <f t="shared" si="325"/>
        <v>0</v>
      </c>
      <c r="R171" s="25">
        <f t="shared" si="326"/>
        <v>0</v>
      </c>
      <c r="S171" s="30">
        <f t="shared" si="327"/>
        <v>4</v>
      </c>
      <c r="T171" s="36">
        <f t="shared" si="328"/>
        <v>33.64</v>
      </c>
      <c r="U171" s="30"/>
      <c r="V171" s="43">
        <f t="shared" si="329"/>
        <v>0</v>
      </c>
      <c r="W171" s="30">
        <f t="shared" si="330"/>
        <v>0</v>
      </c>
      <c r="X171" s="47">
        <f t="shared" si="311"/>
        <v>0</v>
      </c>
      <c r="Y171" s="30">
        <f t="shared" si="331"/>
        <v>4</v>
      </c>
      <c r="Z171" s="36">
        <f t="shared" si="332"/>
        <v>33.64</v>
      </c>
      <c r="AA171" s="52"/>
      <c r="AB171" s="43">
        <f t="shared" si="333"/>
        <v>0</v>
      </c>
      <c r="AC171" s="30"/>
      <c r="AD171" s="43"/>
      <c r="AE171" s="30">
        <f t="shared" si="334"/>
        <v>0</v>
      </c>
      <c r="AF171" s="47">
        <f t="shared" si="316"/>
        <v>0</v>
      </c>
      <c r="AG171" s="30">
        <f t="shared" si="335"/>
        <v>4</v>
      </c>
      <c r="AH171" s="36">
        <f t="shared" si="336"/>
        <v>33.64</v>
      </c>
      <c r="AI171" s="52"/>
      <c r="AJ171" s="43">
        <f t="shared" si="337"/>
        <v>0</v>
      </c>
      <c r="AK171" s="30"/>
      <c r="AL171" s="43"/>
      <c r="AM171" s="30">
        <f t="shared" si="338"/>
        <v>0</v>
      </c>
      <c r="AN171" s="47">
        <f t="shared" si="321"/>
        <v>0</v>
      </c>
      <c r="AO171" s="30">
        <f t="shared" si="339"/>
        <v>4</v>
      </c>
      <c r="AP171" s="36">
        <f t="shared" si="340"/>
        <v>33.64</v>
      </c>
    </row>
    <row r="172" spans="1:42" ht="14.25" customHeight="1" x14ac:dyDescent="0.25">
      <c r="A172" s="92" t="s">
        <v>756</v>
      </c>
      <c r="B172" s="12" t="s">
        <v>315</v>
      </c>
      <c r="C172" s="11" t="s">
        <v>26</v>
      </c>
      <c r="D172" s="11" t="s">
        <v>316</v>
      </c>
      <c r="E172" s="13" t="s">
        <v>31</v>
      </c>
      <c r="F172" s="12">
        <v>20</v>
      </c>
      <c r="G172" s="14">
        <v>6.69</v>
      </c>
      <c r="H172" s="14">
        <v>8.19</v>
      </c>
      <c r="I172" s="14">
        <v>163.80000000000001</v>
      </c>
      <c r="J172" s="28">
        <v>1.1691648822269807E-4</v>
      </c>
      <c r="K172" s="186"/>
      <c r="L172" s="186"/>
      <c r="M172" s="186"/>
      <c r="N172" s="186"/>
      <c r="O172" s="30"/>
      <c r="P172" s="43">
        <f t="shared" si="324"/>
        <v>0</v>
      </c>
      <c r="Q172" s="30">
        <f t="shared" si="325"/>
        <v>0</v>
      </c>
      <c r="R172" s="25">
        <f t="shared" si="326"/>
        <v>0</v>
      </c>
      <c r="S172" s="30">
        <f t="shared" si="327"/>
        <v>20</v>
      </c>
      <c r="T172" s="36">
        <f t="shared" si="328"/>
        <v>163.79999999999998</v>
      </c>
      <c r="U172" s="30"/>
      <c r="V172" s="43">
        <f t="shared" si="329"/>
        <v>0</v>
      </c>
      <c r="W172" s="30">
        <f t="shared" si="330"/>
        <v>0</v>
      </c>
      <c r="X172" s="47">
        <f t="shared" si="311"/>
        <v>0</v>
      </c>
      <c r="Y172" s="30">
        <f t="shared" si="331"/>
        <v>20</v>
      </c>
      <c r="Z172" s="36">
        <f t="shared" si="332"/>
        <v>163.79999999999998</v>
      </c>
      <c r="AA172" s="52"/>
      <c r="AB172" s="43">
        <f t="shared" si="333"/>
        <v>0</v>
      </c>
      <c r="AC172" s="30"/>
      <c r="AD172" s="43"/>
      <c r="AE172" s="30">
        <f t="shared" si="334"/>
        <v>0</v>
      </c>
      <c r="AF172" s="47">
        <f t="shared" si="316"/>
        <v>0</v>
      </c>
      <c r="AG172" s="30">
        <f t="shared" si="335"/>
        <v>20</v>
      </c>
      <c r="AH172" s="36">
        <f t="shared" si="336"/>
        <v>163.79999999999998</v>
      </c>
      <c r="AI172" s="52"/>
      <c r="AJ172" s="43">
        <f t="shared" si="337"/>
        <v>0</v>
      </c>
      <c r="AK172" s="30"/>
      <c r="AL172" s="43"/>
      <c r="AM172" s="30">
        <f t="shared" si="338"/>
        <v>0</v>
      </c>
      <c r="AN172" s="47">
        <f t="shared" si="321"/>
        <v>0</v>
      </c>
      <c r="AO172" s="30">
        <f t="shared" si="339"/>
        <v>20</v>
      </c>
      <c r="AP172" s="36">
        <f t="shared" si="340"/>
        <v>163.79999999999998</v>
      </c>
    </row>
    <row r="173" spans="1:42" ht="14.25" customHeight="1" x14ac:dyDescent="0.25">
      <c r="A173" s="92" t="s">
        <v>757</v>
      </c>
      <c r="B173" s="12" t="s">
        <v>317</v>
      </c>
      <c r="C173" s="11" t="s">
        <v>26</v>
      </c>
      <c r="D173" s="11" t="s">
        <v>318</v>
      </c>
      <c r="E173" s="13" t="s">
        <v>31</v>
      </c>
      <c r="F173" s="12">
        <v>8</v>
      </c>
      <c r="G173" s="14">
        <v>20.100000000000001</v>
      </c>
      <c r="H173" s="14">
        <v>24.61</v>
      </c>
      <c r="I173" s="14">
        <v>196.88</v>
      </c>
      <c r="J173" s="28">
        <v>1.4052819414703784E-4</v>
      </c>
      <c r="K173" s="186"/>
      <c r="L173" s="186"/>
      <c r="M173" s="186"/>
      <c r="N173" s="186"/>
      <c r="O173" s="30"/>
      <c r="P173" s="43">
        <f t="shared" si="324"/>
        <v>0</v>
      </c>
      <c r="Q173" s="30">
        <f t="shared" si="325"/>
        <v>0</v>
      </c>
      <c r="R173" s="25">
        <f t="shared" si="326"/>
        <v>0</v>
      </c>
      <c r="S173" s="30">
        <f t="shared" si="327"/>
        <v>8</v>
      </c>
      <c r="T173" s="36">
        <f t="shared" si="328"/>
        <v>196.88</v>
      </c>
      <c r="U173" s="30"/>
      <c r="V173" s="43">
        <f t="shared" si="329"/>
        <v>0</v>
      </c>
      <c r="W173" s="30">
        <f t="shared" si="330"/>
        <v>0</v>
      </c>
      <c r="X173" s="47">
        <f t="shared" si="311"/>
        <v>0</v>
      </c>
      <c r="Y173" s="30">
        <f t="shared" si="331"/>
        <v>8</v>
      </c>
      <c r="Z173" s="36">
        <f t="shared" si="332"/>
        <v>196.88</v>
      </c>
      <c r="AA173" s="52"/>
      <c r="AB173" s="43">
        <f t="shared" si="333"/>
        <v>0</v>
      </c>
      <c r="AC173" s="30"/>
      <c r="AD173" s="43"/>
      <c r="AE173" s="30">
        <f t="shared" si="334"/>
        <v>0</v>
      </c>
      <c r="AF173" s="47">
        <f t="shared" si="316"/>
        <v>0</v>
      </c>
      <c r="AG173" s="30">
        <f t="shared" si="335"/>
        <v>8</v>
      </c>
      <c r="AH173" s="36">
        <f t="shared" si="336"/>
        <v>196.88</v>
      </c>
      <c r="AI173" s="52"/>
      <c r="AJ173" s="43">
        <f t="shared" si="337"/>
        <v>0</v>
      </c>
      <c r="AK173" s="30"/>
      <c r="AL173" s="43"/>
      <c r="AM173" s="30">
        <f t="shared" si="338"/>
        <v>0</v>
      </c>
      <c r="AN173" s="47">
        <f t="shared" si="321"/>
        <v>0</v>
      </c>
      <c r="AO173" s="30">
        <f t="shared" si="339"/>
        <v>8</v>
      </c>
      <c r="AP173" s="36">
        <f t="shared" si="340"/>
        <v>196.88</v>
      </c>
    </row>
    <row r="174" spans="1:42" ht="14.25" customHeight="1" x14ac:dyDescent="0.25">
      <c r="A174" s="92" t="s">
        <v>758</v>
      </c>
      <c r="B174" s="12" t="s">
        <v>319</v>
      </c>
      <c r="C174" s="11" t="s">
        <v>26</v>
      </c>
      <c r="D174" s="11" t="s">
        <v>320</v>
      </c>
      <c r="E174" s="13" t="s">
        <v>31</v>
      </c>
      <c r="F174" s="12">
        <v>9</v>
      </c>
      <c r="G174" s="14">
        <v>9.84</v>
      </c>
      <c r="H174" s="14">
        <v>12.05</v>
      </c>
      <c r="I174" s="14">
        <v>108.45</v>
      </c>
      <c r="J174" s="28">
        <v>7.740899357601713E-5</v>
      </c>
      <c r="K174" s="186"/>
      <c r="L174" s="186"/>
      <c r="M174" s="186"/>
      <c r="N174" s="186"/>
      <c r="O174" s="30"/>
      <c r="P174" s="43">
        <f t="shared" si="324"/>
        <v>0</v>
      </c>
      <c r="Q174" s="30">
        <f t="shared" si="325"/>
        <v>0</v>
      </c>
      <c r="R174" s="25">
        <f t="shared" si="326"/>
        <v>0</v>
      </c>
      <c r="S174" s="30">
        <f t="shared" si="327"/>
        <v>9</v>
      </c>
      <c r="T174" s="36">
        <f t="shared" si="328"/>
        <v>108.45</v>
      </c>
      <c r="U174" s="30"/>
      <c r="V174" s="43">
        <f t="shared" si="329"/>
        <v>0</v>
      </c>
      <c r="W174" s="30">
        <f t="shared" si="330"/>
        <v>0</v>
      </c>
      <c r="X174" s="47">
        <f t="shared" si="311"/>
        <v>0</v>
      </c>
      <c r="Y174" s="30">
        <f t="shared" si="331"/>
        <v>9</v>
      </c>
      <c r="Z174" s="36">
        <f t="shared" si="332"/>
        <v>108.45</v>
      </c>
      <c r="AA174" s="52"/>
      <c r="AB174" s="43">
        <f t="shared" si="333"/>
        <v>0</v>
      </c>
      <c r="AC174" s="30"/>
      <c r="AD174" s="43"/>
      <c r="AE174" s="30">
        <f t="shared" si="334"/>
        <v>0</v>
      </c>
      <c r="AF174" s="47">
        <f t="shared" si="316"/>
        <v>0</v>
      </c>
      <c r="AG174" s="30">
        <f t="shared" si="335"/>
        <v>9</v>
      </c>
      <c r="AH174" s="36">
        <f t="shared" si="336"/>
        <v>108.45</v>
      </c>
      <c r="AI174" s="52"/>
      <c r="AJ174" s="43">
        <f t="shared" si="337"/>
        <v>0</v>
      </c>
      <c r="AK174" s="30"/>
      <c r="AL174" s="43"/>
      <c r="AM174" s="30">
        <f t="shared" si="338"/>
        <v>0</v>
      </c>
      <c r="AN174" s="47">
        <f t="shared" si="321"/>
        <v>0</v>
      </c>
      <c r="AO174" s="30">
        <f t="shared" si="339"/>
        <v>9</v>
      </c>
      <c r="AP174" s="36">
        <f t="shared" si="340"/>
        <v>108.45</v>
      </c>
    </row>
    <row r="175" spans="1:42" ht="14.25" customHeight="1" x14ac:dyDescent="0.25">
      <c r="A175" s="92" t="s">
        <v>759</v>
      </c>
      <c r="B175" s="12" t="s">
        <v>321</v>
      </c>
      <c r="C175" s="11" t="s">
        <v>26</v>
      </c>
      <c r="D175" s="11" t="s">
        <v>322</v>
      </c>
      <c r="E175" s="13" t="s">
        <v>31</v>
      </c>
      <c r="F175" s="12">
        <v>5</v>
      </c>
      <c r="G175" s="14">
        <v>37.93</v>
      </c>
      <c r="H175" s="14">
        <v>46.45</v>
      </c>
      <c r="I175" s="14">
        <v>232.25</v>
      </c>
      <c r="J175" s="28">
        <v>1.6577444682369736E-4</v>
      </c>
      <c r="K175" s="186"/>
      <c r="L175" s="186"/>
      <c r="M175" s="186"/>
      <c r="N175" s="186"/>
      <c r="O175" s="30"/>
      <c r="P175" s="43">
        <f t="shared" si="324"/>
        <v>0</v>
      </c>
      <c r="Q175" s="30">
        <f t="shared" si="325"/>
        <v>0</v>
      </c>
      <c r="R175" s="25">
        <f t="shared" si="326"/>
        <v>0</v>
      </c>
      <c r="S175" s="30">
        <f t="shared" si="327"/>
        <v>5</v>
      </c>
      <c r="T175" s="36">
        <f t="shared" si="328"/>
        <v>232.25</v>
      </c>
      <c r="U175" s="30"/>
      <c r="V175" s="43">
        <f t="shared" si="329"/>
        <v>0</v>
      </c>
      <c r="W175" s="30">
        <f t="shared" si="330"/>
        <v>0</v>
      </c>
      <c r="X175" s="47">
        <f t="shared" si="311"/>
        <v>0</v>
      </c>
      <c r="Y175" s="30">
        <f t="shared" si="331"/>
        <v>5</v>
      </c>
      <c r="Z175" s="36">
        <f t="shared" si="332"/>
        <v>232.25</v>
      </c>
      <c r="AA175" s="52"/>
      <c r="AB175" s="43">
        <f t="shared" si="333"/>
        <v>0</v>
      </c>
      <c r="AC175" s="30"/>
      <c r="AD175" s="43"/>
      <c r="AE175" s="30">
        <f t="shared" si="334"/>
        <v>0</v>
      </c>
      <c r="AF175" s="47">
        <f t="shared" si="316"/>
        <v>0</v>
      </c>
      <c r="AG175" s="30">
        <f t="shared" si="335"/>
        <v>5</v>
      </c>
      <c r="AH175" s="36">
        <f t="shared" si="336"/>
        <v>232.25</v>
      </c>
      <c r="AI175" s="52"/>
      <c r="AJ175" s="43">
        <f t="shared" si="337"/>
        <v>0</v>
      </c>
      <c r="AK175" s="30"/>
      <c r="AL175" s="43"/>
      <c r="AM175" s="30">
        <f t="shared" si="338"/>
        <v>0</v>
      </c>
      <c r="AN175" s="47">
        <f t="shared" si="321"/>
        <v>0</v>
      </c>
      <c r="AO175" s="30">
        <f t="shared" si="339"/>
        <v>5</v>
      </c>
      <c r="AP175" s="36">
        <f t="shared" si="340"/>
        <v>232.25</v>
      </c>
    </row>
    <row r="176" spans="1:42" ht="14.25" customHeight="1" x14ac:dyDescent="0.25">
      <c r="A176" s="92" t="s">
        <v>760</v>
      </c>
      <c r="B176" s="12" t="s">
        <v>321</v>
      </c>
      <c r="C176" s="11" t="s">
        <v>26</v>
      </c>
      <c r="D176" s="11" t="s">
        <v>322</v>
      </c>
      <c r="E176" s="13" t="s">
        <v>31</v>
      </c>
      <c r="F176" s="12">
        <v>3</v>
      </c>
      <c r="G176" s="14">
        <v>37.93</v>
      </c>
      <c r="H176" s="14">
        <v>46.45</v>
      </c>
      <c r="I176" s="14">
        <v>139.35</v>
      </c>
      <c r="J176" s="28">
        <v>9.9464668094218411E-5</v>
      </c>
      <c r="K176" s="186"/>
      <c r="L176" s="186"/>
      <c r="M176" s="186"/>
      <c r="N176" s="186"/>
      <c r="O176" s="30"/>
      <c r="P176" s="43">
        <f t="shared" si="324"/>
        <v>0</v>
      </c>
      <c r="Q176" s="30">
        <f t="shared" si="325"/>
        <v>0</v>
      </c>
      <c r="R176" s="25">
        <f t="shared" si="326"/>
        <v>0</v>
      </c>
      <c r="S176" s="30">
        <f t="shared" si="327"/>
        <v>3</v>
      </c>
      <c r="T176" s="36">
        <f t="shared" si="328"/>
        <v>139.35000000000002</v>
      </c>
      <c r="U176" s="30"/>
      <c r="V176" s="43">
        <f t="shared" si="329"/>
        <v>0</v>
      </c>
      <c r="W176" s="30">
        <f t="shared" si="330"/>
        <v>0</v>
      </c>
      <c r="X176" s="47">
        <f t="shared" si="311"/>
        <v>0</v>
      </c>
      <c r="Y176" s="30">
        <f t="shared" si="331"/>
        <v>3</v>
      </c>
      <c r="Z176" s="36">
        <f t="shared" si="332"/>
        <v>139.35000000000002</v>
      </c>
      <c r="AA176" s="52"/>
      <c r="AB176" s="43">
        <f t="shared" si="333"/>
        <v>0</v>
      </c>
      <c r="AC176" s="30"/>
      <c r="AD176" s="43"/>
      <c r="AE176" s="30">
        <f t="shared" si="334"/>
        <v>0</v>
      </c>
      <c r="AF176" s="47">
        <f t="shared" si="316"/>
        <v>0</v>
      </c>
      <c r="AG176" s="30">
        <f t="shared" si="335"/>
        <v>3</v>
      </c>
      <c r="AH176" s="36">
        <f t="shared" si="336"/>
        <v>139.35000000000002</v>
      </c>
      <c r="AI176" s="52"/>
      <c r="AJ176" s="43">
        <f t="shared" si="337"/>
        <v>0</v>
      </c>
      <c r="AK176" s="30"/>
      <c r="AL176" s="43"/>
      <c r="AM176" s="30">
        <f t="shared" si="338"/>
        <v>0</v>
      </c>
      <c r="AN176" s="47">
        <f t="shared" si="321"/>
        <v>0</v>
      </c>
      <c r="AO176" s="30">
        <f t="shared" si="339"/>
        <v>3</v>
      </c>
      <c r="AP176" s="36">
        <f t="shared" si="340"/>
        <v>139.35000000000002</v>
      </c>
    </row>
    <row r="177" spans="1:42" ht="39" customHeight="1" x14ac:dyDescent="0.25">
      <c r="A177" s="92" t="s">
        <v>761</v>
      </c>
      <c r="B177" s="12" t="s">
        <v>323</v>
      </c>
      <c r="C177" s="11" t="s">
        <v>26</v>
      </c>
      <c r="D177" s="11" t="s">
        <v>324</v>
      </c>
      <c r="E177" s="13" t="s">
        <v>31</v>
      </c>
      <c r="F177" s="12">
        <v>4</v>
      </c>
      <c r="G177" s="14">
        <v>29.8</v>
      </c>
      <c r="H177" s="14">
        <v>36.49</v>
      </c>
      <c r="I177" s="14">
        <v>145.96</v>
      </c>
      <c r="J177" s="28">
        <v>1.0418272662384012E-4</v>
      </c>
      <c r="K177" s="186"/>
      <c r="L177" s="186"/>
      <c r="M177" s="186"/>
      <c r="N177" s="186"/>
      <c r="O177" s="30"/>
      <c r="P177" s="43">
        <f t="shared" si="324"/>
        <v>0</v>
      </c>
      <c r="Q177" s="30">
        <f t="shared" si="325"/>
        <v>0</v>
      </c>
      <c r="R177" s="25">
        <f t="shared" si="326"/>
        <v>0</v>
      </c>
      <c r="S177" s="30">
        <f t="shared" si="327"/>
        <v>4</v>
      </c>
      <c r="T177" s="36">
        <f t="shared" si="328"/>
        <v>145.96</v>
      </c>
      <c r="U177" s="30"/>
      <c r="V177" s="43">
        <f t="shared" si="329"/>
        <v>0</v>
      </c>
      <c r="W177" s="30">
        <f t="shared" si="330"/>
        <v>0</v>
      </c>
      <c r="X177" s="47">
        <f t="shared" si="311"/>
        <v>0</v>
      </c>
      <c r="Y177" s="30">
        <f t="shared" si="331"/>
        <v>4</v>
      </c>
      <c r="Z177" s="36">
        <f t="shared" si="332"/>
        <v>145.96</v>
      </c>
      <c r="AA177" s="52"/>
      <c r="AB177" s="43">
        <f t="shared" si="333"/>
        <v>0</v>
      </c>
      <c r="AC177" s="30"/>
      <c r="AD177" s="43"/>
      <c r="AE177" s="30">
        <f t="shared" si="334"/>
        <v>0</v>
      </c>
      <c r="AF177" s="47">
        <f t="shared" si="316"/>
        <v>0</v>
      </c>
      <c r="AG177" s="30">
        <f t="shared" si="335"/>
        <v>4</v>
      </c>
      <c r="AH177" s="36">
        <f t="shared" si="336"/>
        <v>145.96</v>
      </c>
      <c r="AI177" s="52"/>
      <c r="AJ177" s="43">
        <f t="shared" si="337"/>
        <v>0</v>
      </c>
      <c r="AK177" s="30"/>
      <c r="AL177" s="43"/>
      <c r="AM177" s="30">
        <f t="shared" si="338"/>
        <v>0</v>
      </c>
      <c r="AN177" s="47">
        <f t="shared" si="321"/>
        <v>0</v>
      </c>
      <c r="AO177" s="30">
        <f t="shared" si="339"/>
        <v>4</v>
      </c>
      <c r="AP177" s="36">
        <f t="shared" si="340"/>
        <v>145.96</v>
      </c>
    </row>
    <row r="178" spans="1:42" ht="39" customHeight="1" x14ac:dyDescent="0.25">
      <c r="A178" s="92" t="s">
        <v>762</v>
      </c>
      <c r="B178" s="12" t="s">
        <v>325</v>
      </c>
      <c r="C178" s="11" t="s">
        <v>26</v>
      </c>
      <c r="D178" s="11" t="s">
        <v>326</v>
      </c>
      <c r="E178" s="13" t="s">
        <v>31</v>
      </c>
      <c r="F178" s="12">
        <v>4</v>
      </c>
      <c r="G178" s="14">
        <v>12.87</v>
      </c>
      <c r="H178" s="14">
        <v>15.76</v>
      </c>
      <c r="I178" s="14">
        <v>63.04</v>
      </c>
      <c r="J178" s="28">
        <v>4.4996431120628123E-5</v>
      </c>
      <c r="K178" s="186"/>
      <c r="L178" s="186"/>
      <c r="M178" s="186"/>
      <c r="N178" s="186"/>
      <c r="O178" s="30"/>
      <c r="P178" s="43">
        <f t="shared" si="324"/>
        <v>0</v>
      </c>
      <c r="Q178" s="30">
        <f t="shared" si="325"/>
        <v>0</v>
      </c>
      <c r="R178" s="25">
        <f t="shared" si="326"/>
        <v>0</v>
      </c>
      <c r="S178" s="30">
        <f t="shared" si="327"/>
        <v>4</v>
      </c>
      <c r="T178" s="36">
        <f t="shared" si="328"/>
        <v>63.04</v>
      </c>
      <c r="U178" s="30"/>
      <c r="V178" s="43">
        <f t="shared" si="329"/>
        <v>0</v>
      </c>
      <c r="W178" s="30">
        <f t="shared" si="330"/>
        <v>0</v>
      </c>
      <c r="X178" s="47">
        <f t="shared" si="311"/>
        <v>0</v>
      </c>
      <c r="Y178" s="30">
        <f t="shared" si="331"/>
        <v>4</v>
      </c>
      <c r="Z178" s="36">
        <f t="shared" si="332"/>
        <v>63.04</v>
      </c>
      <c r="AA178" s="52"/>
      <c r="AB178" s="43">
        <f t="shared" si="333"/>
        <v>0</v>
      </c>
      <c r="AC178" s="30"/>
      <c r="AD178" s="43"/>
      <c r="AE178" s="30">
        <f t="shared" si="334"/>
        <v>0</v>
      </c>
      <c r="AF178" s="47">
        <f t="shared" si="316"/>
        <v>0</v>
      </c>
      <c r="AG178" s="30">
        <f t="shared" si="335"/>
        <v>4</v>
      </c>
      <c r="AH178" s="36">
        <f t="shared" si="336"/>
        <v>63.04</v>
      </c>
      <c r="AI178" s="52"/>
      <c r="AJ178" s="43">
        <f t="shared" si="337"/>
        <v>0</v>
      </c>
      <c r="AK178" s="30"/>
      <c r="AL178" s="43"/>
      <c r="AM178" s="30">
        <f t="shared" si="338"/>
        <v>0</v>
      </c>
      <c r="AN178" s="47">
        <f t="shared" si="321"/>
        <v>0</v>
      </c>
      <c r="AO178" s="30">
        <f t="shared" si="339"/>
        <v>4</v>
      </c>
      <c r="AP178" s="36">
        <f t="shared" si="340"/>
        <v>63.04</v>
      </c>
    </row>
    <row r="179" spans="1:42" ht="25.5" customHeight="1" x14ac:dyDescent="0.25">
      <c r="A179" s="92" t="s">
        <v>763</v>
      </c>
      <c r="B179" s="12" t="s">
        <v>327</v>
      </c>
      <c r="C179" s="11" t="s">
        <v>29</v>
      </c>
      <c r="D179" s="11" t="s">
        <v>328</v>
      </c>
      <c r="E179" s="13" t="s">
        <v>31</v>
      </c>
      <c r="F179" s="12">
        <v>4</v>
      </c>
      <c r="G179" s="14">
        <v>41.98</v>
      </c>
      <c r="H179" s="14">
        <v>51.41</v>
      </c>
      <c r="I179" s="14">
        <v>205.64</v>
      </c>
      <c r="J179" s="28">
        <v>1.4678087080656675E-4</v>
      </c>
      <c r="K179" s="186"/>
      <c r="L179" s="186"/>
      <c r="M179" s="186"/>
      <c r="N179" s="186"/>
      <c r="O179" s="30"/>
      <c r="P179" s="43">
        <f t="shared" si="324"/>
        <v>0</v>
      </c>
      <c r="Q179" s="30">
        <f t="shared" si="325"/>
        <v>0</v>
      </c>
      <c r="R179" s="25">
        <f t="shared" si="326"/>
        <v>0</v>
      </c>
      <c r="S179" s="30">
        <f t="shared" si="327"/>
        <v>4</v>
      </c>
      <c r="T179" s="36">
        <f t="shared" si="328"/>
        <v>205.64</v>
      </c>
      <c r="U179" s="30"/>
      <c r="V179" s="43">
        <f t="shared" si="329"/>
        <v>0</v>
      </c>
      <c r="W179" s="30">
        <f t="shared" si="330"/>
        <v>0</v>
      </c>
      <c r="X179" s="47">
        <f t="shared" si="311"/>
        <v>0</v>
      </c>
      <c r="Y179" s="30">
        <f t="shared" si="331"/>
        <v>4</v>
      </c>
      <c r="Z179" s="36">
        <f t="shared" si="332"/>
        <v>205.64</v>
      </c>
      <c r="AA179" s="52"/>
      <c r="AB179" s="43">
        <f t="shared" si="333"/>
        <v>0</v>
      </c>
      <c r="AC179" s="30"/>
      <c r="AD179" s="43"/>
      <c r="AE179" s="30">
        <f t="shared" si="334"/>
        <v>0</v>
      </c>
      <c r="AF179" s="47">
        <f t="shared" si="316"/>
        <v>0</v>
      </c>
      <c r="AG179" s="30">
        <f t="shared" si="335"/>
        <v>4</v>
      </c>
      <c r="AH179" s="36">
        <f t="shared" si="336"/>
        <v>205.64</v>
      </c>
      <c r="AI179" s="52"/>
      <c r="AJ179" s="43">
        <f t="shared" si="337"/>
        <v>0</v>
      </c>
      <c r="AK179" s="30"/>
      <c r="AL179" s="43"/>
      <c r="AM179" s="30">
        <f t="shared" si="338"/>
        <v>0</v>
      </c>
      <c r="AN179" s="47">
        <f t="shared" si="321"/>
        <v>0</v>
      </c>
      <c r="AO179" s="30">
        <f t="shared" si="339"/>
        <v>4</v>
      </c>
      <c r="AP179" s="36">
        <f t="shared" si="340"/>
        <v>205.64</v>
      </c>
    </row>
    <row r="180" spans="1:42" ht="14.25" customHeight="1" x14ac:dyDescent="0.25">
      <c r="A180" s="92" t="s">
        <v>764</v>
      </c>
      <c r="B180" s="12" t="s">
        <v>329</v>
      </c>
      <c r="C180" s="11" t="s">
        <v>29</v>
      </c>
      <c r="D180" s="11" t="s">
        <v>330</v>
      </c>
      <c r="E180" s="13" t="s">
        <v>24</v>
      </c>
      <c r="F180" s="12">
        <v>10</v>
      </c>
      <c r="G180" s="14">
        <v>214.05</v>
      </c>
      <c r="H180" s="14">
        <v>262.14</v>
      </c>
      <c r="I180" s="14">
        <v>2621.4</v>
      </c>
      <c r="J180" s="28">
        <v>1.8710920770877945E-3</v>
      </c>
      <c r="K180" s="186"/>
      <c r="L180" s="186"/>
      <c r="M180" s="186"/>
      <c r="N180" s="186"/>
      <c r="O180" s="30"/>
      <c r="P180" s="43">
        <f t="shared" si="324"/>
        <v>0</v>
      </c>
      <c r="Q180" s="30">
        <f t="shared" si="325"/>
        <v>0</v>
      </c>
      <c r="R180" s="25">
        <f t="shared" si="326"/>
        <v>0</v>
      </c>
      <c r="S180" s="30">
        <f t="shared" si="327"/>
        <v>10</v>
      </c>
      <c r="T180" s="36">
        <f t="shared" si="328"/>
        <v>2621.3999999999996</v>
      </c>
      <c r="U180" s="30"/>
      <c r="V180" s="43">
        <f t="shared" si="329"/>
        <v>0</v>
      </c>
      <c r="W180" s="30">
        <f t="shared" si="330"/>
        <v>0</v>
      </c>
      <c r="X180" s="47">
        <f t="shared" si="311"/>
        <v>0</v>
      </c>
      <c r="Y180" s="30">
        <f t="shared" si="331"/>
        <v>10</v>
      </c>
      <c r="Z180" s="36">
        <f t="shared" si="332"/>
        <v>2621.3999999999996</v>
      </c>
      <c r="AA180" s="52"/>
      <c r="AB180" s="43">
        <f t="shared" si="333"/>
        <v>0</v>
      </c>
      <c r="AC180" s="30"/>
      <c r="AD180" s="43"/>
      <c r="AE180" s="30">
        <f t="shared" si="334"/>
        <v>0</v>
      </c>
      <c r="AF180" s="47">
        <f t="shared" si="316"/>
        <v>0</v>
      </c>
      <c r="AG180" s="30">
        <f t="shared" si="335"/>
        <v>10</v>
      </c>
      <c r="AH180" s="36">
        <f t="shared" si="336"/>
        <v>2621.3999999999996</v>
      </c>
      <c r="AI180" s="52"/>
      <c r="AJ180" s="43">
        <f t="shared" si="337"/>
        <v>0</v>
      </c>
      <c r="AK180" s="30"/>
      <c r="AL180" s="43"/>
      <c r="AM180" s="30">
        <f t="shared" si="338"/>
        <v>0</v>
      </c>
      <c r="AN180" s="47">
        <f t="shared" si="321"/>
        <v>0</v>
      </c>
      <c r="AO180" s="30">
        <f t="shared" si="339"/>
        <v>10</v>
      </c>
      <c r="AP180" s="36">
        <f t="shared" si="340"/>
        <v>2621.3999999999996</v>
      </c>
    </row>
    <row r="181" spans="1:42" ht="25.5" customHeight="1" x14ac:dyDescent="0.25">
      <c r="A181" s="92" t="s">
        <v>765</v>
      </c>
      <c r="B181" s="12" t="s">
        <v>331</v>
      </c>
      <c r="C181" s="11" t="s">
        <v>26</v>
      </c>
      <c r="D181" s="11" t="s">
        <v>332</v>
      </c>
      <c r="E181" s="13" t="s">
        <v>31</v>
      </c>
      <c r="F181" s="12">
        <v>1</v>
      </c>
      <c r="G181" s="14">
        <v>233.14</v>
      </c>
      <c r="H181" s="14">
        <v>285.52</v>
      </c>
      <c r="I181" s="14">
        <v>285.52</v>
      </c>
      <c r="J181" s="28">
        <v>2.0379728765167738E-4</v>
      </c>
      <c r="K181" s="186"/>
      <c r="L181" s="186"/>
      <c r="M181" s="186"/>
      <c r="N181" s="186"/>
      <c r="O181" s="30"/>
      <c r="P181" s="43">
        <f t="shared" si="324"/>
        <v>0</v>
      </c>
      <c r="Q181" s="30">
        <f t="shared" si="325"/>
        <v>0</v>
      </c>
      <c r="R181" s="25">
        <f t="shared" si="326"/>
        <v>0</v>
      </c>
      <c r="S181" s="30">
        <f t="shared" si="327"/>
        <v>1</v>
      </c>
      <c r="T181" s="36">
        <f t="shared" si="328"/>
        <v>285.52</v>
      </c>
      <c r="U181" s="30"/>
      <c r="V181" s="43">
        <f t="shared" si="329"/>
        <v>0</v>
      </c>
      <c r="W181" s="30">
        <f t="shared" si="330"/>
        <v>0</v>
      </c>
      <c r="X181" s="47">
        <f t="shared" si="311"/>
        <v>0</v>
      </c>
      <c r="Y181" s="30">
        <f t="shared" si="331"/>
        <v>1</v>
      </c>
      <c r="Z181" s="36">
        <f t="shared" si="332"/>
        <v>285.52</v>
      </c>
      <c r="AA181" s="52"/>
      <c r="AB181" s="43">
        <f t="shared" si="333"/>
        <v>0</v>
      </c>
      <c r="AC181" s="30"/>
      <c r="AD181" s="43"/>
      <c r="AE181" s="30">
        <f t="shared" si="334"/>
        <v>0</v>
      </c>
      <c r="AF181" s="47">
        <f t="shared" si="316"/>
        <v>0</v>
      </c>
      <c r="AG181" s="30">
        <f t="shared" si="335"/>
        <v>1</v>
      </c>
      <c r="AH181" s="36">
        <f t="shared" si="336"/>
        <v>285.52</v>
      </c>
      <c r="AI181" s="52"/>
      <c r="AJ181" s="43">
        <f t="shared" si="337"/>
        <v>0</v>
      </c>
      <c r="AK181" s="30"/>
      <c r="AL181" s="43"/>
      <c r="AM181" s="30">
        <f t="shared" si="338"/>
        <v>0</v>
      </c>
      <c r="AN181" s="47">
        <f t="shared" si="321"/>
        <v>0</v>
      </c>
      <c r="AO181" s="30">
        <f t="shared" si="339"/>
        <v>1</v>
      </c>
      <c r="AP181" s="36">
        <f t="shared" si="340"/>
        <v>285.52</v>
      </c>
    </row>
    <row r="182" spans="1:42" ht="14.25" customHeight="1" x14ac:dyDescent="0.25">
      <c r="A182" s="92" t="s">
        <v>766</v>
      </c>
      <c r="B182" s="12" t="s">
        <v>333</v>
      </c>
      <c r="C182" s="11" t="s">
        <v>26</v>
      </c>
      <c r="D182" s="11" t="s">
        <v>334</v>
      </c>
      <c r="E182" s="13" t="s">
        <v>31</v>
      </c>
      <c r="F182" s="12">
        <v>4</v>
      </c>
      <c r="G182" s="14">
        <v>3049.41</v>
      </c>
      <c r="H182" s="14">
        <v>3734.61</v>
      </c>
      <c r="I182" s="14">
        <v>14938.44</v>
      </c>
      <c r="J182" s="28">
        <v>1.0662698072805139E-2</v>
      </c>
      <c r="K182" s="186"/>
      <c r="L182" s="186"/>
      <c r="M182" s="186"/>
      <c r="N182" s="186"/>
      <c r="O182" s="30"/>
      <c r="P182" s="43">
        <f t="shared" si="324"/>
        <v>0</v>
      </c>
      <c r="Q182" s="30">
        <f t="shared" si="325"/>
        <v>0</v>
      </c>
      <c r="R182" s="25">
        <f t="shared" si="326"/>
        <v>0</v>
      </c>
      <c r="S182" s="30">
        <f t="shared" si="327"/>
        <v>4</v>
      </c>
      <c r="T182" s="36">
        <f t="shared" si="328"/>
        <v>14938.44</v>
      </c>
      <c r="U182" s="30"/>
      <c r="V182" s="43">
        <f t="shared" si="329"/>
        <v>0</v>
      </c>
      <c r="W182" s="30">
        <f t="shared" si="330"/>
        <v>0</v>
      </c>
      <c r="X182" s="47">
        <f t="shared" si="311"/>
        <v>0</v>
      </c>
      <c r="Y182" s="30">
        <f t="shared" si="331"/>
        <v>4</v>
      </c>
      <c r="Z182" s="36">
        <f t="shared" si="332"/>
        <v>14938.44</v>
      </c>
      <c r="AA182" s="52"/>
      <c r="AB182" s="43">
        <f t="shared" si="333"/>
        <v>0</v>
      </c>
      <c r="AC182" s="30"/>
      <c r="AD182" s="43"/>
      <c r="AE182" s="30">
        <f t="shared" si="334"/>
        <v>0</v>
      </c>
      <c r="AF182" s="47">
        <f t="shared" si="316"/>
        <v>0</v>
      </c>
      <c r="AG182" s="30">
        <f t="shared" si="335"/>
        <v>4</v>
      </c>
      <c r="AH182" s="36">
        <f t="shared" si="336"/>
        <v>14938.44</v>
      </c>
      <c r="AI182" s="52"/>
      <c r="AJ182" s="43">
        <f t="shared" si="337"/>
        <v>0</v>
      </c>
      <c r="AK182" s="30"/>
      <c r="AL182" s="43"/>
      <c r="AM182" s="30">
        <f t="shared" si="338"/>
        <v>0</v>
      </c>
      <c r="AN182" s="47">
        <f t="shared" si="321"/>
        <v>0</v>
      </c>
      <c r="AO182" s="30">
        <f t="shared" si="339"/>
        <v>4</v>
      </c>
      <c r="AP182" s="36">
        <f t="shared" si="340"/>
        <v>14938.44</v>
      </c>
    </row>
    <row r="183" spans="1:42" ht="14.25" customHeight="1" x14ac:dyDescent="0.25">
      <c r="A183" s="92" t="s">
        <v>767</v>
      </c>
      <c r="B183" s="12" t="s">
        <v>335</v>
      </c>
      <c r="C183" s="11" t="s">
        <v>26</v>
      </c>
      <c r="D183" s="11" t="s">
        <v>336</v>
      </c>
      <c r="E183" s="13" t="s">
        <v>31</v>
      </c>
      <c r="F183" s="12">
        <v>1</v>
      </c>
      <c r="G183" s="14">
        <v>7447.71</v>
      </c>
      <c r="H183" s="14">
        <v>9121.2099999999991</v>
      </c>
      <c r="I183" s="14">
        <v>9121.2099999999991</v>
      </c>
      <c r="J183" s="28">
        <v>6.5104996431120631E-3</v>
      </c>
      <c r="K183" s="186"/>
      <c r="L183" s="186"/>
      <c r="M183" s="186"/>
      <c r="N183" s="186"/>
      <c r="O183" s="30"/>
      <c r="P183" s="43">
        <f t="shared" si="324"/>
        <v>0</v>
      </c>
      <c r="Q183" s="30">
        <f t="shared" si="325"/>
        <v>0</v>
      </c>
      <c r="R183" s="25">
        <f t="shared" si="326"/>
        <v>0</v>
      </c>
      <c r="S183" s="30">
        <f t="shared" si="327"/>
        <v>1</v>
      </c>
      <c r="T183" s="36">
        <f t="shared" si="328"/>
        <v>9121.2099999999991</v>
      </c>
      <c r="U183" s="30"/>
      <c r="V183" s="43">
        <f t="shared" si="329"/>
        <v>0</v>
      </c>
      <c r="W183" s="30">
        <f t="shared" si="330"/>
        <v>0</v>
      </c>
      <c r="X183" s="47">
        <f t="shared" si="311"/>
        <v>0</v>
      </c>
      <c r="Y183" s="30">
        <f t="shared" si="331"/>
        <v>1</v>
      </c>
      <c r="Z183" s="36">
        <f t="shared" si="332"/>
        <v>9121.2099999999991</v>
      </c>
      <c r="AA183" s="52"/>
      <c r="AB183" s="43">
        <f t="shared" si="333"/>
        <v>0</v>
      </c>
      <c r="AC183" s="30"/>
      <c r="AD183" s="43"/>
      <c r="AE183" s="30">
        <f t="shared" si="334"/>
        <v>0</v>
      </c>
      <c r="AF183" s="47">
        <f t="shared" si="316"/>
        <v>0</v>
      </c>
      <c r="AG183" s="30">
        <f t="shared" si="335"/>
        <v>1</v>
      </c>
      <c r="AH183" s="36">
        <f t="shared" si="336"/>
        <v>9121.2099999999991</v>
      </c>
      <c r="AI183" s="52"/>
      <c r="AJ183" s="43">
        <f t="shared" si="337"/>
        <v>0</v>
      </c>
      <c r="AK183" s="30"/>
      <c r="AL183" s="43"/>
      <c r="AM183" s="30">
        <f t="shared" si="338"/>
        <v>0</v>
      </c>
      <c r="AN183" s="47">
        <f t="shared" si="321"/>
        <v>0</v>
      </c>
      <c r="AO183" s="30">
        <f t="shared" si="339"/>
        <v>1</v>
      </c>
      <c r="AP183" s="36">
        <f t="shared" si="340"/>
        <v>9121.2099999999991</v>
      </c>
    </row>
    <row r="184" spans="1:42" ht="14.25" customHeight="1" x14ac:dyDescent="0.25">
      <c r="A184" s="92" t="s">
        <v>768</v>
      </c>
      <c r="B184" s="12" t="s">
        <v>337</v>
      </c>
      <c r="C184" s="11" t="s">
        <v>29</v>
      </c>
      <c r="D184" s="11" t="s">
        <v>338</v>
      </c>
      <c r="E184" s="13" t="s">
        <v>116</v>
      </c>
      <c r="F184" s="12">
        <v>8.42</v>
      </c>
      <c r="G184" s="14">
        <v>139.6</v>
      </c>
      <c r="H184" s="14">
        <v>170.96</v>
      </c>
      <c r="I184" s="14">
        <v>1439.48</v>
      </c>
      <c r="J184" s="28">
        <v>1.0274660956459672E-3</v>
      </c>
      <c r="K184" s="186"/>
      <c r="L184" s="186"/>
      <c r="M184" s="186"/>
      <c r="N184" s="186"/>
      <c r="O184" s="30"/>
      <c r="P184" s="43">
        <f t="shared" si="324"/>
        <v>0</v>
      </c>
      <c r="Q184" s="30">
        <f t="shared" si="325"/>
        <v>0</v>
      </c>
      <c r="R184" s="25">
        <f t="shared" si="326"/>
        <v>0</v>
      </c>
      <c r="S184" s="30">
        <f t="shared" si="327"/>
        <v>8.42</v>
      </c>
      <c r="T184" s="36">
        <f t="shared" si="328"/>
        <v>1439.4832000000001</v>
      </c>
      <c r="U184" s="30"/>
      <c r="V184" s="43">
        <f t="shared" si="329"/>
        <v>0</v>
      </c>
      <c r="W184" s="30">
        <f t="shared" si="330"/>
        <v>0</v>
      </c>
      <c r="X184" s="47">
        <f t="shared" si="311"/>
        <v>0</v>
      </c>
      <c r="Y184" s="30">
        <f t="shared" si="331"/>
        <v>8.42</v>
      </c>
      <c r="Z184" s="36">
        <f t="shared" si="332"/>
        <v>1439.4832000000001</v>
      </c>
      <c r="AA184" s="52"/>
      <c r="AB184" s="43">
        <f t="shared" si="333"/>
        <v>0</v>
      </c>
      <c r="AC184" s="30"/>
      <c r="AD184" s="43"/>
      <c r="AE184" s="30">
        <f t="shared" si="334"/>
        <v>0</v>
      </c>
      <c r="AF184" s="47">
        <f t="shared" si="316"/>
        <v>0</v>
      </c>
      <c r="AG184" s="30">
        <f t="shared" si="335"/>
        <v>8.42</v>
      </c>
      <c r="AH184" s="36">
        <f t="shared" si="336"/>
        <v>1439.4832000000001</v>
      </c>
      <c r="AI184" s="52"/>
      <c r="AJ184" s="43">
        <f t="shared" si="337"/>
        <v>0</v>
      </c>
      <c r="AK184" s="30"/>
      <c r="AL184" s="43"/>
      <c r="AM184" s="30">
        <f t="shared" si="338"/>
        <v>0</v>
      </c>
      <c r="AN184" s="47">
        <f t="shared" si="321"/>
        <v>0</v>
      </c>
      <c r="AO184" s="30">
        <f t="shared" si="339"/>
        <v>8.42</v>
      </c>
      <c r="AP184" s="36">
        <f t="shared" si="340"/>
        <v>1439.4832000000001</v>
      </c>
    </row>
    <row r="185" spans="1:42" ht="14.25" customHeight="1" x14ac:dyDescent="0.25">
      <c r="A185" s="91" t="s">
        <v>339</v>
      </c>
      <c r="B185" s="8"/>
      <c r="C185" s="8"/>
      <c r="D185" s="8" t="s">
        <v>340</v>
      </c>
      <c r="E185" s="8"/>
      <c r="F185" s="9"/>
      <c r="G185" s="8"/>
      <c r="H185" s="8"/>
      <c r="I185" s="10">
        <v>15256.04</v>
      </c>
      <c r="J185" s="27">
        <v>1.0889393290506781E-2</v>
      </c>
      <c r="K185" s="185"/>
      <c r="L185" s="185"/>
      <c r="M185" s="185"/>
      <c r="N185" s="185"/>
      <c r="O185" s="32"/>
      <c r="P185" s="44"/>
      <c r="Q185" s="22"/>
      <c r="R185" s="22"/>
      <c r="S185" s="32"/>
      <c r="T185" s="37">
        <f>SUM(T186:T205)</f>
        <v>15256.04</v>
      </c>
      <c r="U185" s="32"/>
      <c r="V185" s="44"/>
      <c r="W185" s="32"/>
      <c r="X185" s="48"/>
      <c r="Y185" s="32"/>
      <c r="Z185" s="37">
        <f>SUM(Z186:Z205)</f>
        <v>15256.04</v>
      </c>
      <c r="AA185" s="53"/>
      <c r="AB185" s="44"/>
      <c r="AC185" s="32"/>
      <c r="AD185" s="44"/>
      <c r="AE185" s="32"/>
      <c r="AF185" s="48"/>
      <c r="AG185" s="32"/>
      <c r="AH185" s="37">
        <f>SUM(AH186:AH205)</f>
        <v>15256.04</v>
      </c>
      <c r="AI185" s="53"/>
      <c r="AJ185" s="44"/>
      <c r="AK185" s="32"/>
      <c r="AL185" s="44"/>
      <c r="AM185" s="32"/>
      <c r="AN185" s="48"/>
      <c r="AO185" s="32"/>
      <c r="AP185" s="37">
        <f>SUM(AP186:AP205)</f>
        <v>15256.04</v>
      </c>
    </row>
    <row r="186" spans="1:42" ht="14.25" customHeight="1" x14ac:dyDescent="0.25">
      <c r="A186" s="92" t="s">
        <v>769</v>
      </c>
      <c r="B186" s="12" t="s">
        <v>341</v>
      </c>
      <c r="C186" s="11" t="s">
        <v>29</v>
      </c>
      <c r="D186" s="11" t="s">
        <v>342</v>
      </c>
      <c r="E186" s="13" t="s">
        <v>31</v>
      </c>
      <c r="F186" s="12">
        <v>2</v>
      </c>
      <c r="G186" s="14">
        <v>54.87</v>
      </c>
      <c r="H186" s="14">
        <v>67.19</v>
      </c>
      <c r="I186" s="14">
        <v>134.38</v>
      </c>
      <c r="J186" s="28">
        <v>9.5917201998572447E-5</v>
      </c>
      <c r="K186" s="186"/>
      <c r="L186" s="186"/>
      <c r="M186" s="186"/>
      <c r="N186" s="186"/>
      <c r="O186" s="30"/>
      <c r="P186" s="43">
        <f t="shared" ref="P186:P205" si="341">O186*H186</f>
        <v>0</v>
      </c>
      <c r="Q186" s="30">
        <f t="shared" ref="Q186:Q205" si="342">O186</f>
        <v>0</v>
      </c>
      <c r="R186" s="25">
        <f t="shared" ref="R186:R205" si="343">Q186/F186</f>
        <v>0</v>
      </c>
      <c r="S186" s="30">
        <f t="shared" ref="S186:S205" si="344">F186-Q186</f>
        <v>2</v>
      </c>
      <c r="T186" s="36">
        <f t="shared" ref="T186:T205" si="345">S186*H186</f>
        <v>134.38</v>
      </c>
      <c r="U186" s="30"/>
      <c r="V186" s="43">
        <f t="shared" ref="V186:V205" si="346">U186*H186</f>
        <v>0</v>
      </c>
      <c r="W186" s="30">
        <f t="shared" ref="W186:W205" si="347">Q186+U186</f>
        <v>0</v>
      </c>
      <c r="X186" s="47">
        <f t="shared" si="311"/>
        <v>0</v>
      </c>
      <c r="Y186" s="30">
        <f t="shared" ref="Y186:Y205" si="348">F186-W186</f>
        <v>2</v>
      </c>
      <c r="Z186" s="36">
        <f t="shared" ref="Z186:Z205" si="349">Y186*H186</f>
        <v>134.38</v>
      </c>
      <c r="AA186" s="52"/>
      <c r="AB186" s="43">
        <f t="shared" ref="AB186:AB205" si="350">AA186*H186</f>
        <v>0</v>
      </c>
      <c r="AC186" s="30"/>
      <c r="AD186" s="43"/>
      <c r="AE186" s="30">
        <f t="shared" ref="AE186:AE205" si="351">W186+AC186</f>
        <v>0</v>
      </c>
      <c r="AF186" s="47">
        <f t="shared" si="316"/>
        <v>0</v>
      </c>
      <c r="AG186" s="30">
        <f t="shared" ref="AG186:AG205" si="352">F186-AE186</f>
        <v>2</v>
      </c>
      <c r="AH186" s="36">
        <f t="shared" ref="AH186:AH205" si="353">AG186*H186</f>
        <v>134.38</v>
      </c>
      <c r="AI186" s="52"/>
      <c r="AJ186" s="43">
        <f t="shared" ref="AJ186:AJ205" si="354">AI186*T186</f>
        <v>0</v>
      </c>
      <c r="AK186" s="30"/>
      <c r="AL186" s="43"/>
      <c r="AM186" s="30">
        <f t="shared" ref="AM186:AM205" si="355">AE186+AK186</f>
        <v>0</v>
      </c>
      <c r="AN186" s="47">
        <f t="shared" si="321"/>
        <v>0</v>
      </c>
      <c r="AO186" s="30">
        <f t="shared" ref="AO186:AO205" si="356">F186-AM186</f>
        <v>2</v>
      </c>
      <c r="AP186" s="36">
        <f t="shared" ref="AP186:AP205" si="357">AO186*H186</f>
        <v>134.38</v>
      </c>
    </row>
    <row r="187" spans="1:42" ht="14.25" customHeight="1" x14ac:dyDescent="0.25">
      <c r="A187" s="92" t="s">
        <v>770</v>
      </c>
      <c r="B187" s="12" t="s">
        <v>343</v>
      </c>
      <c r="C187" s="11" t="s">
        <v>26</v>
      </c>
      <c r="D187" s="11" t="s">
        <v>344</v>
      </c>
      <c r="E187" s="13" t="s">
        <v>31</v>
      </c>
      <c r="F187" s="12">
        <v>5</v>
      </c>
      <c r="G187" s="14">
        <v>224.68</v>
      </c>
      <c r="H187" s="14">
        <v>275.16000000000003</v>
      </c>
      <c r="I187" s="14">
        <v>1375.8</v>
      </c>
      <c r="J187" s="28">
        <v>9.8201284796573885E-4</v>
      </c>
      <c r="K187" s="186"/>
      <c r="L187" s="186"/>
      <c r="M187" s="186"/>
      <c r="N187" s="186"/>
      <c r="O187" s="30"/>
      <c r="P187" s="43">
        <f t="shared" si="341"/>
        <v>0</v>
      </c>
      <c r="Q187" s="30">
        <f t="shared" si="342"/>
        <v>0</v>
      </c>
      <c r="R187" s="25">
        <f t="shared" si="343"/>
        <v>0</v>
      </c>
      <c r="S187" s="30">
        <f t="shared" si="344"/>
        <v>5</v>
      </c>
      <c r="T187" s="36">
        <f t="shared" si="345"/>
        <v>1375.8000000000002</v>
      </c>
      <c r="U187" s="30"/>
      <c r="V187" s="43">
        <f t="shared" si="346"/>
        <v>0</v>
      </c>
      <c r="W187" s="30">
        <f t="shared" si="347"/>
        <v>0</v>
      </c>
      <c r="X187" s="47">
        <f t="shared" si="311"/>
        <v>0</v>
      </c>
      <c r="Y187" s="30">
        <f t="shared" si="348"/>
        <v>5</v>
      </c>
      <c r="Z187" s="36">
        <f t="shared" si="349"/>
        <v>1375.8000000000002</v>
      </c>
      <c r="AA187" s="52"/>
      <c r="AB187" s="43">
        <f t="shared" si="350"/>
        <v>0</v>
      </c>
      <c r="AC187" s="30"/>
      <c r="AD187" s="43"/>
      <c r="AE187" s="30">
        <f t="shared" si="351"/>
        <v>0</v>
      </c>
      <c r="AF187" s="47">
        <f t="shared" si="316"/>
        <v>0</v>
      </c>
      <c r="AG187" s="30">
        <f t="shared" si="352"/>
        <v>5</v>
      </c>
      <c r="AH187" s="36">
        <f t="shared" si="353"/>
        <v>1375.8000000000002</v>
      </c>
      <c r="AI187" s="52"/>
      <c r="AJ187" s="43">
        <f t="shared" si="354"/>
        <v>0</v>
      </c>
      <c r="AK187" s="30"/>
      <c r="AL187" s="43"/>
      <c r="AM187" s="30">
        <f t="shared" si="355"/>
        <v>0</v>
      </c>
      <c r="AN187" s="47">
        <f t="shared" si="321"/>
        <v>0</v>
      </c>
      <c r="AO187" s="30">
        <f t="shared" si="356"/>
        <v>5</v>
      </c>
      <c r="AP187" s="36">
        <f t="shared" si="357"/>
        <v>1375.8000000000002</v>
      </c>
    </row>
    <row r="188" spans="1:42" ht="14.25" customHeight="1" x14ac:dyDescent="0.25">
      <c r="A188" s="92" t="s">
        <v>771</v>
      </c>
      <c r="B188" s="12" t="s">
        <v>345</v>
      </c>
      <c r="C188" s="11" t="s">
        <v>26</v>
      </c>
      <c r="D188" s="11" t="s">
        <v>346</v>
      </c>
      <c r="E188" s="13" t="s">
        <v>31</v>
      </c>
      <c r="F188" s="12">
        <v>5</v>
      </c>
      <c r="G188" s="14">
        <v>228.37</v>
      </c>
      <c r="H188" s="14">
        <v>279.68</v>
      </c>
      <c r="I188" s="14">
        <v>1398.4</v>
      </c>
      <c r="J188" s="28">
        <v>9.9814418272662383E-4</v>
      </c>
      <c r="K188" s="186"/>
      <c r="L188" s="186"/>
      <c r="M188" s="186"/>
      <c r="N188" s="186"/>
      <c r="O188" s="30"/>
      <c r="P188" s="43">
        <f t="shared" si="341"/>
        <v>0</v>
      </c>
      <c r="Q188" s="30">
        <f t="shared" si="342"/>
        <v>0</v>
      </c>
      <c r="R188" s="25">
        <f t="shared" si="343"/>
        <v>0</v>
      </c>
      <c r="S188" s="30">
        <f t="shared" si="344"/>
        <v>5</v>
      </c>
      <c r="T188" s="36">
        <f t="shared" si="345"/>
        <v>1398.4</v>
      </c>
      <c r="U188" s="30"/>
      <c r="V188" s="43">
        <f t="shared" si="346"/>
        <v>0</v>
      </c>
      <c r="W188" s="30">
        <f t="shared" si="347"/>
        <v>0</v>
      </c>
      <c r="X188" s="47">
        <f t="shared" si="311"/>
        <v>0</v>
      </c>
      <c r="Y188" s="30">
        <f t="shared" si="348"/>
        <v>5</v>
      </c>
      <c r="Z188" s="36">
        <f t="shared" si="349"/>
        <v>1398.4</v>
      </c>
      <c r="AA188" s="52"/>
      <c r="AB188" s="43">
        <f t="shared" si="350"/>
        <v>0</v>
      </c>
      <c r="AC188" s="30"/>
      <c r="AD188" s="43"/>
      <c r="AE188" s="30">
        <f t="shared" si="351"/>
        <v>0</v>
      </c>
      <c r="AF188" s="47">
        <f t="shared" si="316"/>
        <v>0</v>
      </c>
      <c r="AG188" s="30">
        <f t="shared" si="352"/>
        <v>5</v>
      </c>
      <c r="AH188" s="36">
        <f t="shared" si="353"/>
        <v>1398.4</v>
      </c>
      <c r="AI188" s="52"/>
      <c r="AJ188" s="43">
        <f t="shared" si="354"/>
        <v>0</v>
      </c>
      <c r="AK188" s="30"/>
      <c r="AL188" s="43"/>
      <c r="AM188" s="30">
        <f t="shared" si="355"/>
        <v>0</v>
      </c>
      <c r="AN188" s="47">
        <f t="shared" si="321"/>
        <v>0</v>
      </c>
      <c r="AO188" s="30">
        <f t="shared" si="356"/>
        <v>5</v>
      </c>
      <c r="AP188" s="36">
        <f t="shared" si="357"/>
        <v>1398.4</v>
      </c>
    </row>
    <row r="189" spans="1:42" ht="14.25" customHeight="1" x14ac:dyDescent="0.25">
      <c r="A189" s="92" t="s">
        <v>772</v>
      </c>
      <c r="B189" s="12" t="s">
        <v>347</v>
      </c>
      <c r="C189" s="11" t="s">
        <v>26</v>
      </c>
      <c r="D189" s="11" t="s">
        <v>348</v>
      </c>
      <c r="E189" s="13" t="s">
        <v>31</v>
      </c>
      <c r="F189" s="12">
        <v>3</v>
      </c>
      <c r="G189" s="14">
        <v>369.68</v>
      </c>
      <c r="H189" s="14">
        <v>452.74</v>
      </c>
      <c r="I189" s="14">
        <v>1358.22</v>
      </c>
      <c r="J189" s="28">
        <v>9.6946466809421836E-4</v>
      </c>
      <c r="K189" s="186"/>
      <c r="L189" s="186"/>
      <c r="M189" s="186"/>
      <c r="N189" s="186"/>
      <c r="O189" s="30"/>
      <c r="P189" s="43">
        <f t="shared" si="341"/>
        <v>0</v>
      </c>
      <c r="Q189" s="30">
        <f t="shared" si="342"/>
        <v>0</v>
      </c>
      <c r="R189" s="25">
        <f t="shared" si="343"/>
        <v>0</v>
      </c>
      <c r="S189" s="30">
        <f t="shared" si="344"/>
        <v>3</v>
      </c>
      <c r="T189" s="36">
        <f t="shared" si="345"/>
        <v>1358.22</v>
      </c>
      <c r="U189" s="30"/>
      <c r="V189" s="43">
        <f t="shared" si="346"/>
        <v>0</v>
      </c>
      <c r="W189" s="30">
        <f t="shared" si="347"/>
        <v>0</v>
      </c>
      <c r="X189" s="47">
        <f t="shared" si="311"/>
        <v>0</v>
      </c>
      <c r="Y189" s="30">
        <f t="shared" si="348"/>
        <v>3</v>
      </c>
      <c r="Z189" s="36">
        <f t="shared" si="349"/>
        <v>1358.22</v>
      </c>
      <c r="AA189" s="52"/>
      <c r="AB189" s="43">
        <f t="shared" si="350"/>
        <v>0</v>
      </c>
      <c r="AC189" s="30"/>
      <c r="AD189" s="43"/>
      <c r="AE189" s="30">
        <f t="shared" si="351"/>
        <v>0</v>
      </c>
      <c r="AF189" s="47">
        <f t="shared" si="316"/>
        <v>0</v>
      </c>
      <c r="AG189" s="30">
        <f t="shared" si="352"/>
        <v>3</v>
      </c>
      <c r="AH189" s="36">
        <f t="shared" si="353"/>
        <v>1358.22</v>
      </c>
      <c r="AI189" s="52"/>
      <c r="AJ189" s="43">
        <f t="shared" si="354"/>
        <v>0</v>
      </c>
      <c r="AK189" s="30"/>
      <c r="AL189" s="43"/>
      <c r="AM189" s="30">
        <f t="shared" si="355"/>
        <v>0</v>
      </c>
      <c r="AN189" s="47">
        <f t="shared" si="321"/>
        <v>0</v>
      </c>
      <c r="AO189" s="30">
        <f t="shared" si="356"/>
        <v>3</v>
      </c>
      <c r="AP189" s="36">
        <f t="shared" si="357"/>
        <v>1358.22</v>
      </c>
    </row>
    <row r="190" spans="1:42" ht="25.5" customHeight="1" x14ac:dyDescent="0.25">
      <c r="A190" s="92" t="s">
        <v>773</v>
      </c>
      <c r="B190" s="12" t="s">
        <v>349</v>
      </c>
      <c r="C190" s="11" t="s">
        <v>26</v>
      </c>
      <c r="D190" s="11" t="s">
        <v>350</v>
      </c>
      <c r="E190" s="13" t="s">
        <v>31</v>
      </c>
      <c r="F190" s="12">
        <v>1</v>
      </c>
      <c r="G190" s="14">
        <v>499.07</v>
      </c>
      <c r="H190" s="14">
        <v>611.21</v>
      </c>
      <c r="I190" s="14">
        <v>611.21</v>
      </c>
      <c r="J190" s="28">
        <v>4.3626695217701642E-4</v>
      </c>
      <c r="K190" s="186"/>
      <c r="L190" s="186"/>
      <c r="M190" s="186"/>
      <c r="N190" s="186"/>
      <c r="O190" s="30"/>
      <c r="P190" s="43">
        <f t="shared" si="341"/>
        <v>0</v>
      </c>
      <c r="Q190" s="30">
        <f t="shared" si="342"/>
        <v>0</v>
      </c>
      <c r="R190" s="25">
        <f t="shared" si="343"/>
        <v>0</v>
      </c>
      <c r="S190" s="30">
        <f t="shared" si="344"/>
        <v>1</v>
      </c>
      <c r="T190" s="36">
        <f t="shared" si="345"/>
        <v>611.21</v>
      </c>
      <c r="U190" s="30"/>
      <c r="V190" s="43">
        <f t="shared" si="346"/>
        <v>0</v>
      </c>
      <c r="W190" s="30">
        <f t="shared" si="347"/>
        <v>0</v>
      </c>
      <c r="X190" s="47">
        <f t="shared" si="311"/>
        <v>0</v>
      </c>
      <c r="Y190" s="30">
        <f t="shared" si="348"/>
        <v>1</v>
      </c>
      <c r="Z190" s="36">
        <f t="shared" si="349"/>
        <v>611.21</v>
      </c>
      <c r="AA190" s="52"/>
      <c r="AB190" s="43">
        <f t="shared" si="350"/>
        <v>0</v>
      </c>
      <c r="AC190" s="30"/>
      <c r="AD190" s="43"/>
      <c r="AE190" s="30">
        <f t="shared" si="351"/>
        <v>0</v>
      </c>
      <c r="AF190" s="47">
        <f t="shared" si="316"/>
        <v>0</v>
      </c>
      <c r="AG190" s="30">
        <f t="shared" si="352"/>
        <v>1</v>
      </c>
      <c r="AH190" s="36">
        <f t="shared" si="353"/>
        <v>611.21</v>
      </c>
      <c r="AI190" s="52"/>
      <c r="AJ190" s="43">
        <f t="shared" si="354"/>
        <v>0</v>
      </c>
      <c r="AK190" s="30"/>
      <c r="AL190" s="43"/>
      <c r="AM190" s="30">
        <f t="shared" si="355"/>
        <v>0</v>
      </c>
      <c r="AN190" s="47">
        <f t="shared" si="321"/>
        <v>0</v>
      </c>
      <c r="AO190" s="30">
        <f t="shared" si="356"/>
        <v>1</v>
      </c>
      <c r="AP190" s="36">
        <f t="shared" si="357"/>
        <v>611.21</v>
      </c>
    </row>
    <row r="191" spans="1:42" ht="27.75" customHeight="1" x14ac:dyDescent="0.25">
      <c r="A191" s="92" t="s">
        <v>774</v>
      </c>
      <c r="B191" s="12" t="s">
        <v>351</v>
      </c>
      <c r="C191" s="11" t="s">
        <v>26</v>
      </c>
      <c r="D191" s="11" t="s">
        <v>352</v>
      </c>
      <c r="E191" s="13" t="s">
        <v>31</v>
      </c>
      <c r="F191" s="12">
        <v>5</v>
      </c>
      <c r="G191" s="14">
        <v>108.2</v>
      </c>
      <c r="H191" s="14">
        <v>132.51</v>
      </c>
      <c r="I191" s="14">
        <v>662.55</v>
      </c>
      <c r="J191" s="28">
        <v>4.7291220556745182E-4</v>
      </c>
      <c r="K191" s="186"/>
      <c r="L191" s="186"/>
      <c r="M191" s="186"/>
      <c r="N191" s="186"/>
      <c r="O191" s="30"/>
      <c r="P191" s="43">
        <f t="shared" si="341"/>
        <v>0</v>
      </c>
      <c r="Q191" s="30">
        <f t="shared" si="342"/>
        <v>0</v>
      </c>
      <c r="R191" s="25">
        <f t="shared" si="343"/>
        <v>0</v>
      </c>
      <c r="S191" s="30">
        <f t="shared" si="344"/>
        <v>5</v>
      </c>
      <c r="T191" s="36">
        <f t="shared" si="345"/>
        <v>662.55</v>
      </c>
      <c r="U191" s="30"/>
      <c r="V191" s="43">
        <f t="shared" si="346"/>
        <v>0</v>
      </c>
      <c r="W191" s="30">
        <f t="shared" si="347"/>
        <v>0</v>
      </c>
      <c r="X191" s="47">
        <f t="shared" si="311"/>
        <v>0</v>
      </c>
      <c r="Y191" s="30">
        <f t="shared" si="348"/>
        <v>5</v>
      </c>
      <c r="Z191" s="36">
        <f t="shared" si="349"/>
        <v>662.55</v>
      </c>
      <c r="AA191" s="52"/>
      <c r="AB191" s="43">
        <f t="shared" si="350"/>
        <v>0</v>
      </c>
      <c r="AC191" s="30"/>
      <c r="AD191" s="43"/>
      <c r="AE191" s="30">
        <f t="shared" si="351"/>
        <v>0</v>
      </c>
      <c r="AF191" s="47">
        <f t="shared" si="316"/>
        <v>0</v>
      </c>
      <c r="AG191" s="30">
        <f t="shared" si="352"/>
        <v>5</v>
      </c>
      <c r="AH191" s="36">
        <f t="shared" si="353"/>
        <v>662.55</v>
      </c>
      <c r="AI191" s="52"/>
      <c r="AJ191" s="43">
        <f t="shared" si="354"/>
        <v>0</v>
      </c>
      <c r="AK191" s="30"/>
      <c r="AL191" s="43"/>
      <c r="AM191" s="30">
        <f t="shared" si="355"/>
        <v>0</v>
      </c>
      <c r="AN191" s="47">
        <f t="shared" si="321"/>
        <v>0</v>
      </c>
      <c r="AO191" s="30">
        <f t="shared" si="356"/>
        <v>5</v>
      </c>
      <c r="AP191" s="36">
        <f t="shared" si="357"/>
        <v>662.55</v>
      </c>
    </row>
    <row r="192" spans="1:42" ht="14.25" customHeight="1" x14ac:dyDescent="0.25">
      <c r="A192" s="92" t="s">
        <v>775</v>
      </c>
      <c r="B192" s="12" t="s">
        <v>353</v>
      </c>
      <c r="C192" s="11" t="s">
        <v>26</v>
      </c>
      <c r="D192" s="11" t="s">
        <v>354</v>
      </c>
      <c r="E192" s="13" t="s">
        <v>31</v>
      </c>
      <c r="F192" s="12">
        <v>6</v>
      </c>
      <c r="G192" s="14">
        <v>108.44</v>
      </c>
      <c r="H192" s="14">
        <v>132.80000000000001</v>
      </c>
      <c r="I192" s="14">
        <v>796.8</v>
      </c>
      <c r="J192" s="28">
        <v>5.6873661670235544E-4</v>
      </c>
      <c r="K192" s="186"/>
      <c r="L192" s="186"/>
      <c r="M192" s="186"/>
      <c r="N192" s="186"/>
      <c r="O192" s="30"/>
      <c r="P192" s="43">
        <f t="shared" si="341"/>
        <v>0</v>
      </c>
      <c r="Q192" s="30">
        <f t="shared" si="342"/>
        <v>0</v>
      </c>
      <c r="R192" s="25">
        <f t="shared" si="343"/>
        <v>0</v>
      </c>
      <c r="S192" s="30">
        <f t="shared" si="344"/>
        <v>6</v>
      </c>
      <c r="T192" s="36">
        <f t="shared" si="345"/>
        <v>796.80000000000007</v>
      </c>
      <c r="U192" s="30"/>
      <c r="V192" s="43">
        <f t="shared" si="346"/>
        <v>0</v>
      </c>
      <c r="W192" s="30">
        <f t="shared" si="347"/>
        <v>0</v>
      </c>
      <c r="X192" s="47">
        <f t="shared" si="311"/>
        <v>0</v>
      </c>
      <c r="Y192" s="30">
        <f t="shared" si="348"/>
        <v>6</v>
      </c>
      <c r="Z192" s="36">
        <f t="shared" si="349"/>
        <v>796.80000000000007</v>
      </c>
      <c r="AA192" s="52"/>
      <c r="AB192" s="43">
        <f t="shared" si="350"/>
        <v>0</v>
      </c>
      <c r="AC192" s="30"/>
      <c r="AD192" s="43"/>
      <c r="AE192" s="30">
        <f t="shared" si="351"/>
        <v>0</v>
      </c>
      <c r="AF192" s="47">
        <f t="shared" si="316"/>
        <v>0</v>
      </c>
      <c r="AG192" s="30">
        <f t="shared" si="352"/>
        <v>6</v>
      </c>
      <c r="AH192" s="36">
        <f t="shared" si="353"/>
        <v>796.80000000000007</v>
      </c>
      <c r="AI192" s="52"/>
      <c r="AJ192" s="43">
        <f t="shared" si="354"/>
        <v>0</v>
      </c>
      <c r="AK192" s="30"/>
      <c r="AL192" s="43"/>
      <c r="AM192" s="30">
        <f t="shared" si="355"/>
        <v>0</v>
      </c>
      <c r="AN192" s="47">
        <f t="shared" si="321"/>
        <v>0</v>
      </c>
      <c r="AO192" s="30">
        <f t="shared" si="356"/>
        <v>6</v>
      </c>
      <c r="AP192" s="36">
        <f t="shared" si="357"/>
        <v>796.80000000000007</v>
      </c>
    </row>
    <row r="193" spans="1:42" ht="14.25" customHeight="1" x14ac:dyDescent="0.25">
      <c r="A193" s="92" t="s">
        <v>776</v>
      </c>
      <c r="B193" s="12" t="s">
        <v>355</v>
      </c>
      <c r="C193" s="11" t="s">
        <v>26</v>
      </c>
      <c r="D193" s="11" t="s">
        <v>356</v>
      </c>
      <c r="E193" s="13" t="s">
        <v>31</v>
      </c>
      <c r="F193" s="12">
        <v>11</v>
      </c>
      <c r="G193" s="14">
        <v>45.62</v>
      </c>
      <c r="H193" s="14">
        <v>55.87</v>
      </c>
      <c r="I193" s="14">
        <v>614.57000000000005</v>
      </c>
      <c r="J193" s="28">
        <v>4.3866523911491789E-4</v>
      </c>
      <c r="K193" s="186"/>
      <c r="L193" s="186"/>
      <c r="M193" s="186"/>
      <c r="N193" s="186"/>
      <c r="O193" s="30"/>
      <c r="P193" s="43">
        <f t="shared" si="341"/>
        <v>0</v>
      </c>
      <c r="Q193" s="30">
        <f t="shared" si="342"/>
        <v>0</v>
      </c>
      <c r="R193" s="25">
        <f t="shared" si="343"/>
        <v>0</v>
      </c>
      <c r="S193" s="30">
        <f t="shared" si="344"/>
        <v>11</v>
      </c>
      <c r="T193" s="36">
        <f t="shared" si="345"/>
        <v>614.56999999999994</v>
      </c>
      <c r="U193" s="30"/>
      <c r="V193" s="43">
        <f t="shared" si="346"/>
        <v>0</v>
      </c>
      <c r="W193" s="30">
        <f t="shared" si="347"/>
        <v>0</v>
      </c>
      <c r="X193" s="47">
        <f t="shared" si="311"/>
        <v>0</v>
      </c>
      <c r="Y193" s="30">
        <f t="shared" si="348"/>
        <v>11</v>
      </c>
      <c r="Z193" s="36">
        <f t="shared" si="349"/>
        <v>614.56999999999994</v>
      </c>
      <c r="AA193" s="52"/>
      <c r="AB193" s="43">
        <f t="shared" si="350"/>
        <v>0</v>
      </c>
      <c r="AC193" s="30"/>
      <c r="AD193" s="43"/>
      <c r="AE193" s="30">
        <f t="shared" si="351"/>
        <v>0</v>
      </c>
      <c r="AF193" s="47">
        <f t="shared" si="316"/>
        <v>0</v>
      </c>
      <c r="AG193" s="30">
        <f t="shared" si="352"/>
        <v>11</v>
      </c>
      <c r="AH193" s="36">
        <f t="shared" si="353"/>
        <v>614.56999999999994</v>
      </c>
      <c r="AI193" s="52"/>
      <c r="AJ193" s="43">
        <f t="shared" si="354"/>
        <v>0</v>
      </c>
      <c r="AK193" s="30"/>
      <c r="AL193" s="43"/>
      <c r="AM193" s="30">
        <f t="shared" si="355"/>
        <v>0</v>
      </c>
      <c r="AN193" s="47">
        <f t="shared" si="321"/>
        <v>0</v>
      </c>
      <c r="AO193" s="30">
        <f t="shared" si="356"/>
        <v>11</v>
      </c>
      <c r="AP193" s="36">
        <f t="shared" si="357"/>
        <v>614.56999999999994</v>
      </c>
    </row>
    <row r="194" spans="1:42" ht="25.5" customHeight="1" x14ac:dyDescent="0.25">
      <c r="A194" s="92" t="s">
        <v>777</v>
      </c>
      <c r="B194" s="12" t="s">
        <v>357</v>
      </c>
      <c r="C194" s="11" t="s">
        <v>26</v>
      </c>
      <c r="D194" s="11" t="s">
        <v>358</v>
      </c>
      <c r="E194" s="13" t="s">
        <v>31</v>
      </c>
      <c r="F194" s="12">
        <v>8</v>
      </c>
      <c r="G194" s="14">
        <v>20.57</v>
      </c>
      <c r="H194" s="14">
        <v>25.19</v>
      </c>
      <c r="I194" s="14">
        <v>201.52</v>
      </c>
      <c r="J194" s="28">
        <v>1.4384011420413991E-4</v>
      </c>
      <c r="K194" s="186"/>
      <c r="L194" s="186"/>
      <c r="M194" s="186"/>
      <c r="N194" s="186"/>
      <c r="O194" s="30"/>
      <c r="P194" s="43">
        <f t="shared" si="341"/>
        <v>0</v>
      </c>
      <c r="Q194" s="30">
        <f t="shared" si="342"/>
        <v>0</v>
      </c>
      <c r="R194" s="25">
        <f t="shared" si="343"/>
        <v>0</v>
      </c>
      <c r="S194" s="30">
        <f t="shared" si="344"/>
        <v>8</v>
      </c>
      <c r="T194" s="36">
        <f t="shared" si="345"/>
        <v>201.52</v>
      </c>
      <c r="U194" s="30"/>
      <c r="V194" s="43">
        <f t="shared" si="346"/>
        <v>0</v>
      </c>
      <c r="W194" s="30">
        <f t="shared" si="347"/>
        <v>0</v>
      </c>
      <c r="X194" s="47">
        <f t="shared" si="311"/>
        <v>0</v>
      </c>
      <c r="Y194" s="30">
        <f t="shared" si="348"/>
        <v>8</v>
      </c>
      <c r="Z194" s="36">
        <f t="shared" si="349"/>
        <v>201.52</v>
      </c>
      <c r="AA194" s="52"/>
      <c r="AB194" s="43">
        <f t="shared" si="350"/>
        <v>0</v>
      </c>
      <c r="AC194" s="30"/>
      <c r="AD194" s="43"/>
      <c r="AE194" s="30">
        <f t="shared" si="351"/>
        <v>0</v>
      </c>
      <c r="AF194" s="47">
        <f t="shared" si="316"/>
        <v>0</v>
      </c>
      <c r="AG194" s="30">
        <f t="shared" si="352"/>
        <v>8</v>
      </c>
      <c r="AH194" s="36">
        <f t="shared" si="353"/>
        <v>201.52</v>
      </c>
      <c r="AI194" s="52"/>
      <c r="AJ194" s="43">
        <f t="shared" si="354"/>
        <v>0</v>
      </c>
      <c r="AK194" s="30"/>
      <c r="AL194" s="43"/>
      <c r="AM194" s="30">
        <f t="shared" si="355"/>
        <v>0</v>
      </c>
      <c r="AN194" s="47">
        <f t="shared" si="321"/>
        <v>0</v>
      </c>
      <c r="AO194" s="30">
        <f t="shared" si="356"/>
        <v>8</v>
      </c>
      <c r="AP194" s="36">
        <f t="shared" si="357"/>
        <v>201.52</v>
      </c>
    </row>
    <row r="195" spans="1:42" ht="14.25" customHeight="1" x14ac:dyDescent="0.25">
      <c r="A195" s="92" t="s">
        <v>778</v>
      </c>
      <c r="B195" s="12" t="s">
        <v>359</v>
      </c>
      <c r="C195" s="11" t="s">
        <v>26</v>
      </c>
      <c r="D195" s="11" t="s">
        <v>360</v>
      </c>
      <c r="E195" s="13" t="s">
        <v>31</v>
      </c>
      <c r="F195" s="12">
        <v>4</v>
      </c>
      <c r="G195" s="14">
        <v>251.25</v>
      </c>
      <c r="H195" s="14">
        <v>307.7</v>
      </c>
      <c r="I195" s="14">
        <v>1230.8</v>
      </c>
      <c r="J195" s="28">
        <v>8.7851534618129908E-4</v>
      </c>
      <c r="K195" s="186"/>
      <c r="L195" s="186"/>
      <c r="M195" s="186"/>
      <c r="N195" s="186"/>
      <c r="O195" s="30"/>
      <c r="P195" s="43">
        <f t="shared" si="341"/>
        <v>0</v>
      </c>
      <c r="Q195" s="30">
        <f t="shared" si="342"/>
        <v>0</v>
      </c>
      <c r="R195" s="25">
        <f t="shared" si="343"/>
        <v>0</v>
      </c>
      <c r="S195" s="30">
        <f t="shared" si="344"/>
        <v>4</v>
      </c>
      <c r="T195" s="36">
        <f t="shared" si="345"/>
        <v>1230.8</v>
      </c>
      <c r="U195" s="30"/>
      <c r="V195" s="43">
        <f t="shared" si="346"/>
        <v>0</v>
      </c>
      <c r="W195" s="30">
        <f t="shared" si="347"/>
        <v>0</v>
      </c>
      <c r="X195" s="47">
        <f t="shared" si="311"/>
        <v>0</v>
      </c>
      <c r="Y195" s="30">
        <f t="shared" si="348"/>
        <v>4</v>
      </c>
      <c r="Z195" s="36">
        <f t="shared" si="349"/>
        <v>1230.8</v>
      </c>
      <c r="AA195" s="52"/>
      <c r="AB195" s="43">
        <f t="shared" si="350"/>
        <v>0</v>
      </c>
      <c r="AC195" s="30"/>
      <c r="AD195" s="43"/>
      <c r="AE195" s="30">
        <f t="shared" si="351"/>
        <v>0</v>
      </c>
      <c r="AF195" s="47">
        <f t="shared" si="316"/>
        <v>0</v>
      </c>
      <c r="AG195" s="30">
        <f t="shared" si="352"/>
        <v>4</v>
      </c>
      <c r="AH195" s="36">
        <f t="shared" si="353"/>
        <v>1230.8</v>
      </c>
      <c r="AI195" s="52"/>
      <c r="AJ195" s="43">
        <f t="shared" si="354"/>
        <v>0</v>
      </c>
      <c r="AK195" s="30"/>
      <c r="AL195" s="43"/>
      <c r="AM195" s="30">
        <f t="shared" si="355"/>
        <v>0</v>
      </c>
      <c r="AN195" s="47">
        <f t="shared" si="321"/>
        <v>0</v>
      </c>
      <c r="AO195" s="30">
        <f t="shared" si="356"/>
        <v>4</v>
      </c>
      <c r="AP195" s="36">
        <f t="shared" si="357"/>
        <v>1230.8</v>
      </c>
    </row>
    <row r="196" spans="1:42" ht="14.25" customHeight="1" x14ac:dyDescent="0.25">
      <c r="A196" s="92" t="s">
        <v>779</v>
      </c>
      <c r="B196" s="12" t="s">
        <v>361</v>
      </c>
      <c r="C196" s="11" t="s">
        <v>26</v>
      </c>
      <c r="D196" s="11" t="s">
        <v>362</v>
      </c>
      <c r="E196" s="13" t="s">
        <v>31</v>
      </c>
      <c r="F196" s="12">
        <v>2</v>
      </c>
      <c r="G196" s="14">
        <v>484.83</v>
      </c>
      <c r="H196" s="14">
        <v>593.77</v>
      </c>
      <c r="I196" s="14">
        <v>1187.54</v>
      </c>
      <c r="J196" s="28">
        <v>8.4763740185581722E-4</v>
      </c>
      <c r="K196" s="186"/>
      <c r="L196" s="186"/>
      <c r="M196" s="186"/>
      <c r="N196" s="186"/>
      <c r="O196" s="30"/>
      <c r="P196" s="43">
        <f t="shared" si="341"/>
        <v>0</v>
      </c>
      <c r="Q196" s="30">
        <f t="shared" si="342"/>
        <v>0</v>
      </c>
      <c r="R196" s="25">
        <f t="shared" si="343"/>
        <v>0</v>
      </c>
      <c r="S196" s="30">
        <f t="shared" si="344"/>
        <v>2</v>
      </c>
      <c r="T196" s="36">
        <f t="shared" si="345"/>
        <v>1187.54</v>
      </c>
      <c r="U196" s="30"/>
      <c r="V196" s="43">
        <f t="shared" si="346"/>
        <v>0</v>
      </c>
      <c r="W196" s="30">
        <f t="shared" si="347"/>
        <v>0</v>
      </c>
      <c r="X196" s="47">
        <f t="shared" si="311"/>
        <v>0</v>
      </c>
      <c r="Y196" s="30">
        <f t="shared" si="348"/>
        <v>2</v>
      </c>
      <c r="Z196" s="36">
        <f t="shared" si="349"/>
        <v>1187.54</v>
      </c>
      <c r="AA196" s="52"/>
      <c r="AB196" s="43">
        <f t="shared" si="350"/>
        <v>0</v>
      </c>
      <c r="AC196" s="30"/>
      <c r="AD196" s="43"/>
      <c r="AE196" s="30">
        <f t="shared" si="351"/>
        <v>0</v>
      </c>
      <c r="AF196" s="47">
        <f t="shared" si="316"/>
        <v>0</v>
      </c>
      <c r="AG196" s="30">
        <f t="shared" si="352"/>
        <v>2</v>
      </c>
      <c r="AH196" s="36">
        <f t="shared" si="353"/>
        <v>1187.54</v>
      </c>
      <c r="AI196" s="52"/>
      <c r="AJ196" s="43">
        <f t="shared" si="354"/>
        <v>0</v>
      </c>
      <c r="AK196" s="30"/>
      <c r="AL196" s="43"/>
      <c r="AM196" s="30">
        <f t="shared" si="355"/>
        <v>0</v>
      </c>
      <c r="AN196" s="47">
        <f t="shared" si="321"/>
        <v>0</v>
      </c>
      <c r="AO196" s="30">
        <f t="shared" si="356"/>
        <v>2</v>
      </c>
      <c r="AP196" s="36">
        <f t="shared" si="357"/>
        <v>1187.54</v>
      </c>
    </row>
    <row r="197" spans="1:42" ht="14.25" customHeight="1" x14ac:dyDescent="0.25">
      <c r="A197" s="92" t="s">
        <v>780</v>
      </c>
      <c r="B197" s="12" t="s">
        <v>363</v>
      </c>
      <c r="C197" s="11" t="s">
        <v>22</v>
      </c>
      <c r="D197" s="11" t="s">
        <v>364</v>
      </c>
      <c r="E197" s="13" t="s">
        <v>365</v>
      </c>
      <c r="F197" s="12">
        <v>9</v>
      </c>
      <c r="G197" s="14">
        <v>36.630000000000003</v>
      </c>
      <c r="H197" s="14">
        <v>44.86</v>
      </c>
      <c r="I197" s="14">
        <v>403.74</v>
      </c>
      <c r="J197" s="28">
        <v>2.8817987152034261E-4</v>
      </c>
      <c r="K197" s="186"/>
      <c r="L197" s="186"/>
      <c r="M197" s="186"/>
      <c r="N197" s="186"/>
      <c r="O197" s="30"/>
      <c r="P197" s="43">
        <f t="shared" si="341"/>
        <v>0</v>
      </c>
      <c r="Q197" s="30">
        <f t="shared" si="342"/>
        <v>0</v>
      </c>
      <c r="R197" s="25">
        <f t="shared" si="343"/>
        <v>0</v>
      </c>
      <c r="S197" s="30">
        <f t="shared" si="344"/>
        <v>9</v>
      </c>
      <c r="T197" s="36">
        <f t="shared" si="345"/>
        <v>403.74</v>
      </c>
      <c r="U197" s="30"/>
      <c r="V197" s="43">
        <f t="shared" si="346"/>
        <v>0</v>
      </c>
      <c r="W197" s="30">
        <f t="shared" si="347"/>
        <v>0</v>
      </c>
      <c r="X197" s="47">
        <f t="shared" si="311"/>
        <v>0</v>
      </c>
      <c r="Y197" s="30">
        <f t="shared" si="348"/>
        <v>9</v>
      </c>
      <c r="Z197" s="36">
        <f t="shared" si="349"/>
        <v>403.74</v>
      </c>
      <c r="AA197" s="52"/>
      <c r="AB197" s="43">
        <f t="shared" si="350"/>
        <v>0</v>
      </c>
      <c r="AC197" s="30"/>
      <c r="AD197" s="43"/>
      <c r="AE197" s="30">
        <f t="shared" si="351"/>
        <v>0</v>
      </c>
      <c r="AF197" s="47">
        <f t="shared" si="316"/>
        <v>0</v>
      </c>
      <c r="AG197" s="30">
        <f t="shared" si="352"/>
        <v>9</v>
      </c>
      <c r="AH197" s="36">
        <f t="shared" si="353"/>
        <v>403.74</v>
      </c>
      <c r="AI197" s="52"/>
      <c r="AJ197" s="43">
        <f t="shared" si="354"/>
        <v>0</v>
      </c>
      <c r="AK197" s="30"/>
      <c r="AL197" s="43"/>
      <c r="AM197" s="30">
        <f t="shared" si="355"/>
        <v>0</v>
      </c>
      <c r="AN197" s="47">
        <f t="shared" si="321"/>
        <v>0</v>
      </c>
      <c r="AO197" s="30">
        <f t="shared" si="356"/>
        <v>9</v>
      </c>
      <c r="AP197" s="36">
        <f t="shared" si="357"/>
        <v>403.74</v>
      </c>
    </row>
    <row r="198" spans="1:42" ht="14.25" customHeight="1" x14ac:dyDescent="0.25">
      <c r="A198" s="92" t="s">
        <v>781</v>
      </c>
      <c r="B198" s="12" t="s">
        <v>366</v>
      </c>
      <c r="C198" s="11" t="s">
        <v>26</v>
      </c>
      <c r="D198" s="11" t="s">
        <v>367</v>
      </c>
      <c r="E198" s="13" t="s">
        <v>31</v>
      </c>
      <c r="F198" s="12">
        <v>9</v>
      </c>
      <c r="G198" s="14">
        <v>71.19</v>
      </c>
      <c r="H198" s="14">
        <v>87.18</v>
      </c>
      <c r="I198" s="14">
        <v>784.62</v>
      </c>
      <c r="J198" s="28">
        <v>5.600428265524625E-4</v>
      </c>
      <c r="K198" s="186"/>
      <c r="L198" s="186"/>
      <c r="M198" s="186"/>
      <c r="N198" s="186"/>
      <c r="O198" s="30"/>
      <c r="P198" s="43">
        <f t="shared" si="341"/>
        <v>0</v>
      </c>
      <c r="Q198" s="30">
        <f t="shared" si="342"/>
        <v>0</v>
      </c>
      <c r="R198" s="25">
        <f t="shared" si="343"/>
        <v>0</v>
      </c>
      <c r="S198" s="30">
        <f t="shared" si="344"/>
        <v>9</v>
      </c>
      <c r="T198" s="36">
        <f t="shared" si="345"/>
        <v>784.62000000000012</v>
      </c>
      <c r="U198" s="30"/>
      <c r="V198" s="43">
        <f t="shared" si="346"/>
        <v>0</v>
      </c>
      <c r="W198" s="30">
        <f t="shared" si="347"/>
        <v>0</v>
      </c>
      <c r="X198" s="47">
        <f t="shared" si="311"/>
        <v>0</v>
      </c>
      <c r="Y198" s="30">
        <f t="shared" si="348"/>
        <v>9</v>
      </c>
      <c r="Z198" s="36">
        <f t="shared" si="349"/>
        <v>784.62000000000012</v>
      </c>
      <c r="AA198" s="52"/>
      <c r="AB198" s="43">
        <f t="shared" si="350"/>
        <v>0</v>
      </c>
      <c r="AC198" s="30"/>
      <c r="AD198" s="43"/>
      <c r="AE198" s="30">
        <f t="shared" si="351"/>
        <v>0</v>
      </c>
      <c r="AF198" s="47">
        <f t="shared" si="316"/>
        <v>0</v>
      </c>
      <c r="AG198" s="30">
        <f t="shared" si="352"/>
        <v>9</v>
      </c>
      <c r="AH198" s="36">
        <f t="shared" si="353"/>
        <v>784.62000000000012</v>
      </c>
      <c r="AI198" s="52"/>
      <c r="AJ198" s="43">
        <f t="shared" si="354"/>
        <v>0</v>
      </c>
      <c r="AK198" s="30"/>
      <c r="AL198" s="43"/>
      <c r="AM198" s="30">
        <f t="shared" si="355"/>
        <v>0</v>
      </c>
      <c r="AN198" s="47">
        <f t="shared" si="321"/>
        <v>0</v>
      </c>
      <c r="AO198" s="30">
        <f t="shared" si="356"/>
        <v>9</v>
      </c>
      <c r="AP198" s="36">
        <f t="shared" si="357"/>
        <v>784.62000000000012</v>
      </c>
    </row>
    <row r="199" spans="1:42" ht="51.75" customHeight="1" x14ac:dyDescent="0.25">
      <c r="A199" s="92" t="s">
        <v>782</v>
      </c>
      <c r="B199" s="12" t="s">
        <v>368</v>
      </c>
      <c r="C199" s="11" t="s">
        <v>26</v>
      </c>
      <c r="D199" s="11" t="s">
        <v>369</v>
      </c>
      <c r="E199" s="13" t="s">
        <v>31</v>
      </c>
      <c r="F199" s="12">
        <v>1</v>
      </c>
      <c r="G199" s="14">
        <v>642.35</v>
      </c>
      <c r="H199" s="14">
        <v>786.68</v>
      </c>
      <c r="I199" s="14">
        <v>786.68</v>
      </c>
      <c r="J199" s="28">
        <v>5.6151320485367594E-4</v>
      </c>
      <c r="K199" s="186"/>
      <c r="L199" s="186"/>
      <c r="M199" s="186"/>
      <c r="N199" s="186"/>
      <c r="O199" s="30"/>
      <c r="P199" s="43">
        <f t="shared" si="341"/>
        <v>0</v>
      </c>
      <c r="Q199" s="30">
        <f t="shared" si="342"/>
        <v>0</v>
      </c>
      <c r="R199" s="25">
        <f t="shared" si="343"/>
        <v>0</v>
      </c>
      <c r="S199" s="30">
        <f t="shared" si="344"/>
        <v>1</v>
      </c>
      <c r="T199" s="36">
        <f t="shared" si="345"/>
        <v>786.68</v>
      </c>
      <c r="U199" s="30"/>
      <c r="V199" s="43">
        <f t="shared" si="346"/>
        <v>0</v>
      </c>
      <c r="W199" s="30">
        <f t="shared" si="347"/>
        <v>0</v>
      </c>
      <c r="X199" s="47">
        <f t="shared" si="311"/>
        <v>0</v>
      </c>
      <c r="Y199" s="30">
        <f t="shared" si="348"/>
        <v>1</v>
      </c>
      <c r="Z199" s="36">
        <f t="shared" si="349"/>
        <v>786.68</v>
      </c>
      <c r="AA199" s="52"/>
      <c r="AB199" s="43">
        <f t="shared" si="350"/>
        <v>0</v>
      </c>
      <c r="AC199" s="30"/>
      <c r="AD199" s="43"/>
      <c r="AE199" s="30">
        <f t="shared" si="351"/>
        <v>0</v>
      </c>
      <c r="AF199" s="47">
        <f t="shared" si="316"/>
        <v>0</v>
      </c>
      <c r="AG199" s="30">
        <f t="shared" si="352"/>
        <v>1</v>
      </c>
      <c r="AH199" s="36">
        <f t="shared" si="353"/>
        <v>786.68</v>
      </c>
      <c r="AI199" s="52"/>
      <c r="AJ199" s="43">
        <f t="shared" si="354"/>
        <v>0</v>
      </c>
      <c r="AK199" s="30"/>
      <c r="AL199" s="43"/>
      <c r="AM199" s="30">
        <f t="shared" si="355"/>
        <v>0</v>
      </c>
      <c r="AN199" s="47">
        <f t="shared" si="321"/>
        <v>0</v>
      </c>
      <c r="AO199" s="30">
        <f t="shared" si="356"/>
        <v>1</v>
      </c>
      <c r="AP199" s="36">
        <f t="shared" si="357"/>
        <v>786.68</v>
      </c>
    </row>
    <row r="200" spans="1:42" ht="39" customHeight="1" x14ac:dyDescent="0.25">
      <c r="A200" s="92" t="s">
        <v>783</v>
      </c>
      <c r="B200" s="12" t="s">
        <v>370</v>
      </c>
      <c r="C200" s="11" t="s">
        <v>26</v>
      </c>
      <c r="D200" s="11" t="s">
        <v>371</v>
      </c>
      <c r="E200" s="13" t="s">
        <v>31</v>
      </c>
      <c r="F200" s="12">
        <v>4</v>
      </c>
      <c r="G200" s="14">
        <v>331.94</v>
      </c>
      <c r="H200" s="14">
        <v>406.52</v>
      </c>
      <c r="I200" s="14">
        <v>1626.08</v>
      </c>
      <c r="J200" s="28">
        <v>1.1606566738044254E-3</v>
      </c>
      <c r="K200" s="186"/>
      <c r="L200" s="186"/>
      <c r="M200" s="186"/>
      <c r="N200" s="186"/>
      <c r="O200" s="30"/>
      <c r="P200" s="43">
        <f t="shared" si="341"/>
        <v>0</v>
      </c>
      <c r="Q200" s="30">
        <f t="shared" si="342"/>
        <v>0</v>
      </c>
      <c r="R200" s="25">
        <f t="shared" si="343"/>
        <v>0</v>
      </c>
      <c r="S200" s="30">
        <f t="shared" si="344"/>
        <v>4</v>
      </c>
      <c r="T200" s="36">
        <f t="shared" si="345"/>
        <v>1626.08</v>
      </c>
      <c r="U200" s="30"/>
      <c r="V200" s="43">
        <f t="shared" si="346"/>
        <v>0</v>
      </c>
      <c r="W200" s="30">
        <f t="shared" si="347"/>
        <v>0</v>
      </c>
      <c r="X200" s="47">
        <f t="shared" si="311"/>
        <v>0</v>
      </c>
      <c r="Y200" s="30">
        <f t="shared" si="348"/>
        <v>4</v>
      </c>
      <c r="Z200" s="36">
        <f t="shared" si="349"/>
        <v>1626.08</v>
      </c>
      <c r="AA200" s="52"/>
      <c r="AB200" s="43">
        <f t="shared" si="350"/>
        <v>0</v>
      </c>
      <c r="AC200" s="30"/>
      <c r="AD200" s="43"/>
      <c r="AE200" s="30">
        <f t="shared" si="351"/>
        <v>0</v>
      </c>
      <c r="AF200" s="47">
        <f t="shared" si="316"/>
        <v>0</v>
      </c>
      <c r="AG200" s="30">
        <f t="shared" si="352"/>
        <v>4</v>
      </c>
      <c r="AH200" s="36">
        <f t="shared" si="353"/>
        <v>1626.08</v>
      </c>
      <c r="AI200" s="52"/>
      <c r="AJ200" s="43">
        <f t="shared" si="354"/>
        <v>0</v>
      </c>
      <c r="AK200" s="30"/>
      <c r="AL200" s="43"/>
      <c r="AM200" s="30">
        <f t="shared" si="355"/>
        <v>0</v>
      </c>
      <c r="AN200" s="47">
        <f t="shared" si="321"/>
        <v>0</v>
      </c>
      <c r="AO200" s="30">
        <f t="shared" si="356"/>
        <v>4</v>
      </c>
      <c r="AP200" s="36">
        <f t="shared" si="357"/>
        <v>1626.08</v>
      </c>
    </row>
    <row r="201" spans="1:42" ht="14.25" customHeight="1" x14ac:dyDescent="0.25">
      <c r="A201" s="92" t="s">
        <v>784</v>
      </c>
      <c r="B201" s="12" t="s">
        <v>372</v>
      </c>
      <c r="C201" s="11" t="s">
        <v>26</v>
      </c>
      <c r="D201" s="11" t="s">
        <v>373</v>
      </c>
      <c r="E201" s="13" t="s">
        <v>31</v>
      </c>
      <c r="F201" s="12">
        <v>5</v>
      </c>
      <c r="G201" s="14">
        <v>79.23</v>
      </c>
      <c r="H201" s="14">
        <v>97.03</v>
      </c>
      <c r="I201" s="14">
        <v>485.15</v>
      </c>
      <c r="J201" s="28">
        <v>3.4628836545324768E-4</v>
      </c>
      <c r="K201" s="186"/>
      <c r="L201" s="186"/>
      <c r="M201" s="186"/>
      <c r="N201" s="186"/>
      <c r="O201" s="30"/>
      <c r="P201" s="43">
        <f t="shared" si="341"/>
        <v>0</v>
      </c>
      <c r="Q201" s="30">
        <f t="shared" si="342"/>
        <v>0</v>
      </c>
      <c r="R201" s="25">
        <f t="shared" si="343"/>
        <v>0</v>
      </c>
      <c r="S201" s="30">
        <f t="shared" si="344"/>
        <v>5</v>
      </c>
      <c r="T201" s="36">
        <f t="shared" si="345"/>
        <v>485.15</v>
      </c>
      <c r="U201" s="30"/>
      <c r="V201" s="43">
        <f t="shared" si="346"/>
        <v>0</v>
      </c>
      <c r="W201" s="30">
        <f t="shared" si="347"/>
        <v>0</v>
      </c>
      <c r="X201" s="47">
        <f t="shared" si="311"/>
        <v>0</v>
      </c>
      <c r="Y201" s="30">
        <f t="shared" si="348"/>
        <v>5</v>
      </c>
      <c r="Z201" s="36">
        <f t="shared" si="349"/>
        <v>485.15</v>
      </c>
      <c r="AA201" s="52"/>
      <c r="AB201" s="43">
        <f t="shared" si="350"/>
        <v>0</v>
      </c>
      <c r="AC201" s="30"/>
      <c r="AD201" s="43"/>
      <c r="AE201" s="30">
        <f t="shared" si="351"/>
        <v>0</v>
      </c>
      <c r="AF201" s="47">
        <f t="shared" si="316"/>
        <v>0</v>
      </c>
      <c r="AG201" s="30">
        <f t="shared" si="352"/>
        <v>5</v>
      </c>
      <c r="AH201" s="36">
        <f t="shared" si="353"/>
        <v>485.15</v>
      </c>
      <c r="AI201" s="52"/>
      <c r="AJ201" s="43">
        <f t="shared" si="354"/>
        <v>0</v>
      </c>
      <c r="AK201" s="30"/>
      <c r="AL201" s="43"/>
      <c r="AM201" s="30">
        <f t="shared" si="355"/>
        <v>0</v>
      </c>
      <c r="AN201" s="47">
        <f t="shared" si="321"/>
        <v>0</v>
      </c>
      <c r="AO201" s="30">
        <f t="shared" si="356"/>
        <v>5</v>
      </c>
      <c r="AP201" s="36">
        <f t="shared" si="357"/>
        <v>485.15</v>
      </c>
    </row>
    <row r="202" spans="1:42" ht="39" customHeight="1" x14ac:dyDescent="0.25">
      <c r="A202" s="92" t="s">
        <v>785</v>
      </c>
      <c r="B202" s="12" t="s">
        <v>370</v>
      </c>
      <c r="C202" s="11" t="s">
        <v>26</v>
      </c>
      <c r="D202" s="11" t="s">
        <v>371</v>
      </c>
      <c r="E202" s="13" t="s">
        <v>31</v>
      </c>
      <c r="F202" s="12">
        <v>2</v>
      </c>
      <c r="G202" s="14">
        <v>331.94</v>
      </c>
      <c r="H202" s="14">
        <v>406.52</v>
      </c>
      <c r="I202" s="14">
        <v>813.04</v>
      </c>
      <c r="J202" s="28">
        <v>5.8032833690221269E-4</v>
      </c>
      <c r="K202" s="186"/>
      <c r="L202" s="186"/>
      <c r="M202" s="186"/>
      <c r="N202" s="186"/>
      <c r="O202" s="30"/>
      <c r="P202" s="43">
        <f t="shared" si="341"/>
        <v>0</v>
      </c>
      <c r="Q202" s="30">
        <f t="shared" si="342"/>
        <v>0</v>
      </c>
      <c r="R202" s="25">
        <f t="shared" si="343"/>
        <v>0</v>
      </c>
      <c r="S202" s="30">
        <f t="shared" si="344"/>
        <v>2</v>
      </c>
      <c r="T202" s="36">
        <f t="shared" si="345"/>
        <v>813.04</v>
      </c>
      <c r="U202" s="30"/>
      <c r="V202" s="43">
        <f t="shared" si="346"/>
        <v>0</v>
      </c>
      <c r="W202" s="30">
        <f t="shared" si="347"/>
        <v>0</v>
      </c>
      <c r="X202" s="47">
        <f t="shared" si="311"/>
        <v>0</v>
      </c>
      <c r="Y202" s="30">
        <f t="shared" si="348"/>
        <v>2</v>
      </c>
      <c r="Z202" s="36">
        <f t="shared" si="349"/>
        <v>813.04</v>
      </c>
      <c r="AA202" s="52"/>
      <c r="AB202" s="43">
        <f t="shared" si="350"/>
        <v>0</v>
      </c>
      <c r="AC202" s="30"/>
      <c r="AD202" s="43"/>
      <c r="AE202" s="30">
        <f t="shared" si="351"/>
        <v>0</v>
      </c>
      <c r="AF202" s="47">
        <f t="shared" si="316"/>
        <v>0</v>
      </c>
      <c r="AG202" s="30">
        <f t="shared" si="352"/>
        <v>2</v>
      </c>
      <c r="AH202" s="36">
        <f t="shared" si="353"/>
        <v>813.04</v>
      </c>
      <c r="AI202" s="52"/>
      <c r="AJ202" s="43">
        <f t="shared" si="354"/>
        <v>0</v>
      </c>
      <c r="AK202" s="30"/>
      <c r="AL202" s="43"/>
      <c r="AM202" s="30">
        <f t="shared" si="355"/>
        <v>0</v>
      </c>
      <c r="AN202" s="47">
        <f t="shared" si="321"/>
        <v>0</v>
      </c>
      <c r="AO202" s="30">
        <f t="shared" si="356"/>
        <v>2</v>
      </c>
      <c r="AP202" s="36">
        <f t="shared" si="357"/>
        <v>813.04</v>
      </c>
    </row>
    <row r="203" spans="1:42" ht="14.25" customHeight="1" x14ac:dyDescent="0.25">
      <c r="A203" s="92" t="s">
        <v>786</v>
      </c>
      <c r="B203" s="12" t="s">
        <v>374</v>
      </c>
      <c r="C203" s="11" t="s">
        <v>29</v>
      </c>
      <c r="D203" s="11" t="s">
        <v>375</v>
      </c>
      <c r="E203" s="13" t="s">
        <v>31</v>
      </c>
      <c r="F203" s="12">
        <v>1</v>
      </c>
      <c r="G203" s="14">
        <v>118.98</v>
      </c>
      <c r="H203" s="14">
        <v>145.71</v>
      </c>
      <c r="I203" s="14">
        <v>145.71</v>
      </c>
      <c r="J203" s="28">
        <v>1.0400428265524626E-4</v>
      </c>
      <c r="K203" s="186"/>
      <c r="L203" s="186"/>
      <c r="M203" s="186"/>
      <c r="N203" s="186"/>
      <c r="O203" s="30"/>
      <c r="P203" s="43">
        <f t="shared" si="341"/>
        <v>0</v>
      </c>
      <c r="Q203" s="30">
        <f t="shared" si="342"/>
        <v>0</v>
      </c>
      <c r="R203" s="25">
        <f t="shared" si="343"/>
        <v>0</v>
      </c>
      <c r="S203" s="30">
        <f t="shared" si="344"/>
        <v>1</v>
      </c>
      <c r="T203" s="36">
        <f t="shared" si="345"/>
        <v>145.71</v>
      </c>
      <c r="U203" s="30"/>
      <c r="V203" s="43">
        <f t="shared" si="346"/>
        <v>0</v>
      </c>
      <c r="W203" s="30">
        <f t="shared" si="347"/>
        <v>0</v>
      </c>
      <c r="X203" s="47">
        <f t="shared" ref="X203:X222" si="358">W203/$F$8</f>
        <v>0</v>
      </c>
      <c r="Y203" s="30">
        <f t="shared" si="348"/>
        <v>1</v>
      </c>
      <c r="Z203" s="36">
        <f t="shared" si="349"/>
        <v>145.71</v>
      </c>
      <c r="AA203" s="52"/>
      <c r="AB203" s="43">
        <f t="shared" si="350"/>
        <v>0</v>
      </c>
      <c r="AC203" s="30"/>
      <c r="AD203" s="43"/>
      <c r="AE203" s="30">
        <f t="shared" si="351"/>
        <v>0</v>
      </c>
      <c r="AF203" s="47">
        <f t="shared" ref="AF203:AF222" si="359">AE203/$F$8</f>
        <v>0</v>
      </c>
      <c r="AG203" s="30">
        <f t="shared" si="352"/>
        <v>1</v>
      </c>
      <c r="AH203" s="36">
        <f t="shared" si="353"/>
        <v>145.71</v>
      </c>
      <c r="AI203" s="52"/>
      <c r="AJ203" s="43">
        <f t="shared" si="354"/>
        <v>0</v>
      </c>
      <c r="AK203" s="30"/>
      <c r="AL203" s="43"/>
      <c r="AM203" s="30">
        <f t="shared" si="355"/>
        <v>0</v>
      </c>
      <c r="AN203" s="47">
        <f t="shared" ref="AN203:AN222" si="360">AM203/$F$8</f>
        <v>0</v>
      </c>
      <c r="AO203" s="30">
        <f t="shared" si="356"/>
        <v>1</v>
      </c>
      <c r="AP203" s="36">
        <f t="shared" si="357"/>
        <v>145.71</v>
      </c>
    </row>
    <row r="204" spans="1:42" ht="14.25" customHeight="1" x14ac:dyDescent="0.25">
      <c r="A204" s="92" t="s">
        <v>787</v>
      </c>
      <c r="B204" s="12" t="s">
        <v>376</v>
      </c>
      <c r="C204" s="11" t="s">
        <v>22</v>
      </c>
      <c r="D204" s="11" t="s">
        <v>377</v>
      </c>
      <c r="E204" s="13" t="s">
        <v>365</v>
      </c>
      <c r="F204" s="12">
        <v>1</v>
      </c>
      <c r="G204" s="14">
        <v>86.46</v>
      </c>
      <c r="H204" s="14">
        <v>105.88</v>
      </c>
      <c r="I204" s="14">
        <v>105.88</v>
      </c>
      <c r="J204" s="28">
        <v>7.5574589578872233E-5</v>
      </c>
      <c r="K204" s="186"/>
      <c r="L204" s="186"/>
      <c r="M204" s="186"/>
      <c r="N204" s="186"/>
      <c r="O204" s="30"/>
      <c r="P204" s="43">
        <f t="shared" si="341"/>
        <v>0</v>
      </c>
      <c r="Q204" s="30">
        <f t="shared" si="342"/>
        <v>0</v>
      </c>
      <c r="R204" s="25">
        <f t="shared" si="343"/>
        <v>0</v>
      </c>
      <c r="S204" s="30">
        <f t="shared" si="344"/>
        <v>1</v>
      </c>
      <c r="T204" s="36">
        <f t="shared" si="345"/>
        <v>105.88</v>
      </c>
      <c r="U204" s="30"/>
      <c r="V204" s="43">
        <f t="shared" si="346"/>
        <v>0</v>
      </c>
      <c r="W204" s="30">
        <f t="shared" si="347"/>
        <v>0</v>
      </c>
      <c r="X204" s="47">
        <f t="shared" si="358"/>
        <v>0</v>
      </c>
      <c r="Y204" s="30">
        <f t="shared" si="348"/>
        <v>1</v>
      </c>
      <c r="Z204" s="36">
        <f t="shared" si="349"/>
        <v>105.88</v>
      </c>
      <c r="AA204" s="52"/>
      <c r="AB204" s="43">
        <f t="shared" si="350"/>
        <v>0</v>
      </c>
      <c r="AC204" s="30"/>
      <c r="AD204" s="43"/>
      <c r="AE204" s="30">
        <f t="shared" si="351"/>
        <v>0</v>
      </c>
      <c r="AF204" s="47">
        <f t="shared" si="359"/>
        <v>0</v>
      </c>
      <c r="AG204" s="30">
        <f t="shared" si="352"/>
        <v>1</v>
      </c>
      <c r="AH204" s="36">
        <f t="shared" si="353"/>
        <v>105.88</v>
      </c>
      <c r="AI204" s="52"/>
      <c r="AJ204" s="43">
        <f t="shared" si="354"/>
        <v>0</v>
      </c>
      <c r="AK204" s="30"/>
      <c r="AL204" s="43"/>
      <c r="AM204" s="30">
        <f t="shared" si="355"/>
        <v>0</v>
      </c>
      <c r="AN204" s="47">
        <f t="shared" si="360"/>
        <v>0</v>
      </c>
      <c r="AO204" s="30">
        <f t="shared" si="356"/>
        <v>1</v>
      </c>
      <c r="AP204" s="36">
        <f t="shared" si="357"/>
        <v>105.88</v>
      </c>
    </row>
    <row r="205" spans="1:42" ht="14.25" customHeight="1" x14ac:dyDescent="0.25">
      <c r="A205" s="92" t="s">
        <v>788</v>
      </c>
      <c r="B205" s="12" t="s">
        <v>378</v>
      </c>
      <c r="C205" s="11" t="s">
        <v>26</v>
      </c>
      <c r="D205" s="11" t="s">
        <v>379</v>
      </c>
      <c r="E205" s="13" t="s">
        <v>31</v>
      </c>
      <c r="F205" s="12">
        <v>5</v>
      </c>
      <c r="G205" s="14">
        <v>87.1</v>
      </c>
      <c r="H205" s="14">
        <v>106.67</v>
      </c>
      <c r="I205" s="14">
        <v>533.35</v>
      </c>
      <c r="J205" s="28">
        <v>3.8069236259814418E-4</v>
      </c>
      <c r="K205" s="186"/>
      <c r="L205" s="186"/>
      <c r="M205" s="186"/>
      <c r="N205" s="186"/>
      <c r="O205" s="30"/>
      <c r="P205" s="43">
        <f t="shared" si="341"/>
        <v>0</v>
      </c>
      <c r="Q205" s="30">
        <f t="shared" si="342"/>
        <v>0</v>
      </c>
      <c r="R205" s="25">
        <f t="shared" si="343"/>
        <v>0</v>
      </c>
      <c r="S205" s="30">
        <f t="shared" si="344"/>
        <v>5</v>
      </c>
      <c r="T205" s="36">
        <f t="shared" si="345"/>
        <v>533.35</v>
      </c>
      <c r="U205" s="30"/>
      <c r="V205" s="43">
        <f t="shared" si="346"/>
        <v>0</v>
      </c>
      <c r="W205" s="30">
        <f t="shared" si="347"/>
        <v>0</v>
      </c>
      <c r="X205" s="47">
        <f t="shared" si="358"/>
        <v>0</v>
      </c>
      <c r="Y205" s="30">
        <f t="shared" si="348"/>
        <v>5</v>
      </c>
      <c r="Z205" s="36">
        <f t="shared" si="349"/>
        <v>533.35</v>
      </c>
      <c r="AA205" s="52"/>
      <c r="AB205" s="43">
        <f t="shared" si="350"/>
        <v>0</v>
      </c>
      <c r="AC205" s="30"/>
      <c r="AD205" s="43"/>
      <c r="AE205" s="30">
        <f t="shared" si="351"/>
        <v>0</v>
      </c>
      <c r="AF205" s="47">
        <f t="shared" si="359"/>
        <v>0</v>
      </c>
      <c r="AG205" s="30">
        <f t="shared" si="352"/>
        <v>5</v>
      </c>
      <c r="AH205" s="36">
        <f t="shared" si="353"/>
        <v>533.35</v>
      </c>
      <c r="AI205" s="52"/>
      <c r="AJ205" s="43">
        <f t="shared" si="354"/>
        <v>0</v>
      </c>
      <c r="AK205" s="30"/>
      <c r="AL205" s="43"/>
      <c r="AM205" s="30">
        <f t="shared" si="355"/>
        <v>0</v>
      </c>
      <c r="AN205" s="47">
        <f t="shared" si="360"/>
        <v>0</v>
      </c>
      <c r="AO205" s="30">
        <f t="shared" si="356"/>
        <v>5</v>
      </c>
      <c r="AP205" s="36">
        <f t="shared" si="357"/>
        <v>533.35</v>
      </c>
    </row>
    <row r="206" spans="1:42" ht="14.25" customHeight="1" x14ac:dyDescent="0.25">
      <c r="A206" s="91" t="s">
        <v>380</v>
      </c>
      <c r="B206" s="8"/>
      <c r="C206" s="8"/>
      <c r="D206" s="8" t="s">
        <v>381</v>
      </c>
      <c r="E206" s="8"/>
      <c r="F206" s="9"/>
      <c r="G206" s="8"/>
      <c r="H206" s="8"/>
      <c r="I206" s="10">
        <v>3188.84</v>
      </c>
      <c r="J206" s="27">
        <v>2.2761170592433978E-3</v>
      </c>
      <c r="K206" s="185"/>
      <c r="L206" s="185"/>
      <c r="M206" s="185"/>
      <c r="N206" s="185"/>
      <c r="O206" s="32"/>
      <c r="P206" s="44"/>
      <c r="Q206" s="22"/>
      <c r="R206" s="22"/>
      <c r="S206" s="32"/>
      <c r="T206" s="37">
        <f>SUM(T207:T217)</f>
        <v>3188.8628000000003</v>
      </c>
      <c r="U206" s="32"/>
      <c r="V206" s="44"/>
      <c r="W206" s="32"/>
      <c r="X206" s="48"/>
      <c r="Y206" s="32"/>
      <c r="Z206" s="37">
        <f>SUM(Z207:Z217)</f>
        <v>3188.8628000000003</v>
      </c>
      <c r="AA206" s="53"/>
      <c r="AB206" s="44"/>
      <c r="AC206" s="32"/>
      <c r="AD206" s="44"/>
      <c r="AE206" s="32"/>
      <c r="AF206" s="48"/>
      <c r="AG206" s="32"/>
      <c r="AH206" s="37">
        <f>SUM(AH207:AH217)</f>
        <v>3188.8628000000003</v>
      </c>
      <c r="AI206" s="53"/>
      <c r="AJ206" s="44"/>
      <c r="AK206" s="32"/>
      <c r="AL206" s="44"/>
      <c r="AM206" s="32"/>
      <c r="AN206" s="48"/>
      <c r="AO206" s="32"/>
      <c r="AP206" s="37">
        <f>SUM(AP207:AP217)</f>
        <v>3188.8628000000003</v>
      </c>
    </row>
    <row r="207" spans="1:42" ht="39" customHeight="1" x14ac:dyDescent="0.25">
      <c r="A207" s="92" t="s">
        <v>789</v>
      </c>
      <c r="B207" s="12" t="s">
        <v>382</v>
      </c>
      <c r="C207" s="11" t="s">
        <v>26</v>
      </c>
      <c r="D207" s="11" t="s">
        <v>383</v>
      </c>
      <c r="E207" s="13" t="s">
        <v>50</v>
      </c>
      <c r="F207" s="12">
        <v>0.8</v>
      </c>
      <c r="G207" s="14">
        <v>322.93</v>
      </c>
      <c r="H207" s="14">
        <v>395.49</v>
      </c>
      <c r="I207" s="14">
        <v>316.39</v>
      </c>
      <c r="J207" s="28">
        <v>2.258315488936474E-4</v>
      </c>
      <c r="K207" s="186"/>
      <c r="L207" s="186"/>
      <c r="M207" s="186"/>
      <c r="N207" s="186"/>
      <c r="O207" s="30"/>
      <c r="P207" s="43">
        <f t="shared" ref="P207:P217" si="361">O207*H207</f>
        <v>0</v>
      </c>
      <c r="Q207" s="30">
        <f t="shared" ref="Q207:Q217" si="362">O207</f>
        <v>0</v>
      </c>
      <c r="R207" s="25">
        <f t="shared" ref="R207:R217" si="363">Q207/F207</f>
        <v>0</v>
      </c>
      <c r="S207" s="30">
        <f t="shared" ref="S207:S217" si="364">F207-Q207</f>
        <v>0.8</v>
      </c>
      <c r="T207" s="36">
        <f t="shared" ref="T207:T217" si="365">S207*H207</f>
        <v>316.39200000000005</v>
      </c>
      <c r="U207" s="30"/>
      <c r="V207" s="43">
        <f t="shared" ref="V207:V217" si="366">U207*H207</f>
        <v>0</v>
      </c>
      <c r="W207" s="30">
        <f t="shared" ref="W207:W217" si="367">Q207+U207</f>
        <v>0</v>
      </c>
      <c r="X207" s="47">
        <f t="shared" si="358"/>
        <v>0</v>
      </c>
      <c r="Y207" s="30">
        <f t="shared" ref="Y207:Y217" si="368">F207-W207</f>
        <v>0.8</v>
      </c>
      <c r="Z207" s="36">
        <f t="shared" ref="Z207:Z217" si="369">Y207*H207</f>
        <v>316.39200000000005</v>
      </c>
      <c r="AA207" s="52"/>
      <c r="AB207" s="43">
        <f t="shared" ref="AB207:AB217" si="370">AA207*H207</f>
        <v>0</v>
      </c>
      <c r="AC207" s="30"/>
      <c r="AD207" s="43"/>
      <c r="AE207" s="30">
        <f t="shared" ref="AE207:AE217" si="371">W207+AC207</f>
        <v>0</v>
      </c>
      <c r="AF207" s="47">
        <f t="shared" si="359"/>
        <v>0</v>
      </c>
      <c r="AG207" s="30">
        <f t="shared" ref="AG207:AG217" si="372">F207-AE207</f>
        <v>0.8</v>
      </c>
      <c r="AH207" s="36">
        <f t="shared" ref="AH207:AH217" si="373">AG207*H207</f>
        <v>316.39200000000005</v>
      </c>
      <c r="AI207" s="52"/>
      <c r="AJ207" s="43">
        <f t="shared" ref="AJ207:AJ218" si="374">AI207*T207</f>
        <v>0</v>
      </c>
      <c r="AK207" s="30"/>
      <c r="AL207" s="43"/>
      <c r="AM207" s="30">
        <f t="shared" ref="AM207:AM217" si="375">AE207+AK207</f>
        <v>0</v>
      </c>
      <c r="AN207" s="47">
        <f t="shared" si="360"/>
        <v>0</v>
      </c>
      <c r="AO207" s="30">
        <f t="shared" ref="AO207:AO217" si="376">F207-AM207</f>
        <v>0.8</v>
      </c>
      <c r="AP207" s="36">
        <f t="shared" ref="AP207:AP217" si="377">AO207*H207</f>
        <v>316.39200000000005</v>
      </c>
    </row>
    <row r="208" spans="1:42" ht="39" customHeight="1" x14ac:dyDescent="0.25">
      <c r="A208" s="92" t="s">
        <v>790</v>
      </c>
      <c r="B208" s="12" t="s">
        <v>384</v>
      </c>
      <c r="C208" s="11" t="s">
        <v>26</v>
      </c>
      <c r="D208" s="11" t="s">
        <v>385</v>
      </c>
      <c r="E208" s="13" t="s">
        <v>24</v>
      </c>
      <c r="F208" s="12">
        <v>0.16</v>
      </c>
      <c r="G208" s="14">
        <v>667.29</v>
      </c>
      <c r="H208" s="14">
        <v>817.23</v>
      </c>
      <c r="I208" s="14">
        <v>130.75</v>
      </c>
      <c r="J208" s="28">
        <v>9.3326195574589584E-5</v>
      </c>
      <c r="K208" s="186"/>
      <c r="L208" s="186"/>
      <c r="M208" s="186"/>
      <c r="N208" s="186"/>
      <c r="O208" s="30"/>
      <c r="P208" s="43">
        <f t="shared" si="361"/>
        <v>0</v>
      </c>
      <c r="Q208" s="30">
        <f t="shared" si="362"/>
        <v>0</v>
      </c>
      <c r="R208" s="25">
        <f t="shared" si="363"/>
        <v>0</v>
      </c>
      <c r="S208" s="30">
        <f t="shared" si="364"/>
        <v>0.16</v>
      </c>
      <c r="T208" s="36">
        <f t="shared" si="365"/>
        <v>130.7568</v>
      </c>
      <c r="U208" s="30"/>
      <c r="V208" s="43">
        <f t="shared" si="366"/>
        <v>0</v>
      </c>
      <c r="W208" s="30">
        <f t="shared" si="367"/>
        <v>0</v>
      </c>
      <c r="X208" s="47">
        <f t="shared" si="358"/>
        <v>0</v>
      </c>
      <c r="Y208" s="30">
        <f t="shared" si="368"/>
        <v>0.16</v>
      </c>
      <c r="Z208" s="36">
        <f t="shared" si="369"/>
        <v>130.7568</v>
      </c>
      <c r="AA208" s="52"/>
      <c r="AB208" s="43">
        <f t="shared" si="370"/>
        <v>0</v>
      </c>
      <c r="AC208" s="30"/>
      <c r="AD208" s="43"/>
      <c r="AE208" s="30">
        <f t="shared" si="371"/>
        <v>0</v>
      </c>
      <c r="AF208" s="47">
        <f t="shared" si="359"/>
        <v>0</v>
      </c>
      <c r="AG208" s="30">
        <f t="shared" si="372"/>
        <v>0.16</v>
      </c>
      <c r="AH208" s="36">
        <f t="shared" si="373"/>
        <v>130.7568</v>
      </c>
      <c r="AI208" s="52"/>
      <c r="AJ208" s="43">
        <f t="shared" si="374"/>
        <v>0</v>
      </c>
      <c r="AK208" s="30"/>
      <c r="AL208" s="43"/>
      <c r="AM208" s="30">
        <f t="shared" si="375"/>
        <v>0</v>
      </c>
      <c r="AN208" s="47">
        <f t="shared" si="360"/>
        <v>0</v>
      </c>
      <c r="AO208" s="30">
        <f t="shared" si="376"/>
        <v>0.16</v>
      </c>
      <c r="AP208" s="36">
        <f t="shared" si="377"/>
        <v>130.7568</v>
      </c>
    </row>
    <row r="209" spans="1:42" ht="14.25" customHeight="1" x14ac:dyDescent="0.25">
      <c r="A209" s="92" t="s">
        <v>791</v>
      </c>
      <c r="B209" s="12" t="s">
        <v>386</v>
      </c>
      <c r="C209" s="11" t="s">
        <v>26</v>
      </c>
      <c r="D209" s="11" t="s">
        <v>387</v>
      </c>
      <c r="E209" s="13" t="s">
        <v>116</v>
      </c>
      <c r="F209" s="12">
        <v>7.2</v>
      </c>
      <c r="G209" s="14">
        <v>28.61</v>
      </c>
      <c r="H209" s="14">
        <v>35.03</v>
      </c>
      <c r="I209" s="14">
        <v>252.21</v>
      </c>
      <c r="J209" s="28">
        <v>1.8002141327623126E-4</v>
      </c>
      <c r="K209" s="186"/>
      <c r="L209" s="186"/>
      <c r="M209" s="186"/>
      <c r="N209" s="186"/>
      <c r="O209" s="30"/>
      <c r="P209" s="43">
        <f t="shared" si="361"/>
        <v>0</v>
      </c>
      <c r="Q209" s="30">
        <f t="shared" si="362"/>
        <v>0</v>
      </c>
      <c r="R209" s="25">
        <f t="shared" si="363"/>
        <v>0</v>
      </c>
      <c r="S209" s="30">
        <f t="shared" si="364"/>
        <v>7.2</v>
      </c>
      <c r="T209" s="36">
        <f t="shared" si="365"/>
        <v>252.21600000000001</v>
      </c>
      <c r="U209" s="30"/>
      <c r="V209" s="43">
        <f t="shared" si="366"/>
        <v>0</v>
      </c>
      <c r="W209" s="30">
        <f t="shared" si="367"/>
        <v>0</v>
      </c>
      <c r="X209" s="47">
        <f t="shared" si="358"/>
        <v>0</v>
      </c>
      <c r="Y209" s="30">
        <f t="shared" si="368"/>
        <v>7.2</v>
      </c>
      <c r="Z209" s="36">
        <f t="shared" si="369"/>
        <v>252.21600000000001</v>
      </c>
      <c r="AA209" s="52"/>
      <c r="AB209" s="43">
        <f t="shared" si="370"/>
        <v>0</v>
      </c>
      <c r="AC209" s="30"/>
      <c r="AD209" s="43"/>
      <c r="AE209" s="30">
        <f t="shared" si="371"/>
        <v>0</v>
      </c>
      <c r="AF209" s="47">
        <f t="shared" si="359"/>
        <v>0</v>
      </c>
      <c r="AG209" s="30">
        <f t="shared" si="372"/>
        <v>7.2</v>
      </c>
      <c r="AH209" s="36">
        <f t="shared" si="373"/>
        <v>252.21600000000001</v>
      </c>
      <c r="AI209" s="52"/>
      <c r="AJ209" s="43">
        <f t="shared" si="374"/>
        <v>0</v>
      </c>
      <c r="AK209" s="30"/>
      <c r="AL209" s="43"/>
      <c r="AM209" s="30">
        <f t="shared" si="375"/>
        <v>0</v>
      </c>
      <c r="AN209" s="47">
        <f t="shared" si="360"/>
        <v>0</v>
      </c>
      <c r="AO209" s="30">
        <f t="shared" si="376"/>
        <v>7.2</v>
      </c>
      <c r="AP209" s="36">
        <f t="shared" si="377"/>
        <v>252.21600000000001</v>
      </c>
    </row>
    <row r="210" spans="1:42" ht="39" customHeight="1" x14ac:dyDescent="0.25">
      <c r="A210" s="92" t="s">
        <v>792</v>
      </c>
      <c r="B210" s="12" t="s">
        <v>388</v>
      </c>
      <c r="C210" s="11" t="s">
        <v>26</v>
      </c>
      <c r="D210" s="11" t="s">
        <v>389</v>
      </c>
      <c r="E210" s="13" t="s">
        <v>31</v>
      </c>
      <c r="F210" s="12">
        <v>2</v>
      </c>
      <c r="G210" s="14">
        <v>10.050000000000001</v>
      </c>
      <c r="H210" s="14">
        <v>12.3</v>
      </c>
      <c r="I210" s="14">
        <v>24.6</v>
      </c>
      <c r="J210" s="28">
        <v>1.7558886509635974E-5</v>
      </c>
      <c r="K210" s="186"/>
      <c r="L210" s="186"/>
      <c r="M210" s="186"/>
      <c r="N210" s="186"/>
      <c r="O210" s="30"/>
      <c r="P210" s="43">
        <f t="shared" si="361"/>
        <v>0</v>
      </c>
      <c r="Q210" s="30">
        <f t="shared" si="362"/>
        <v>0</v>
      </c>
      <c r="R210" s="25">
        <f t="shared" si="363"/>
        <v>0</v>
      </c>
      <c r="S210" s="30">
        <f t="shared" si="364"/>
        <v>2</v>
      </c>
      <c r="T210" s="36">
        <f t="shared" si="365"/>
        <v>24.6</v>
      </c>
      <c r="U210" s="30"/>
      <c r="V210" s="43">
        <f t="shared" si="366"/>
        <v>0</v>
      </c>
      <c r="W210" s="30">
        <f t="shared" si="367"/>
        <v>0</v>
      </c>
      <c r="X210" s="47">
        <f t="shared" si="358"/>
        <v>0</v>
      </c>
      <c r="Y210" s="30">
        <f t="shared" si="368"/>
        <v>2</v>
      </c>
      <c r="Z210" s="36">
        <f t="shared" si="369"/>
        <v>24.6</v>
      </c>
      <c r="AA210" s="52"/>
      <c r="AB210" s="43">
        <f t="shared" si="370"/>
        <v>0</v>
      </c>
      <c r="AC210" s="30"/>
      <c r="AD210" s="43"/>
      <c r="AE210" s="30">
        <f t="shared" si="371"/>
        <v>0</v>
      </c>
      <c r="AF210" s="47">
        <f t="shared" si="359"/>
        <v>0</v>
      </c>
      <c r="AG210" s="30">
        <f t="shared" si="372"/>
        <v>2</v>
      </c>
      <c r="AH210" s="36">
        <f t="shared" si="373"/>
        <v>24.6</v>
      </c>
      <c r="AI210" s="52"/>
      <c r="AJ210" s="43">
        <f t="shared" si="374"/>
        <v>0</v>
      </c>
      <c r="AK210" s="30"/>
      <c r="AL210" s="43"/>
      <c r="AM210" s="30">
        <f t="shared" si="375"/>
        <v>0</v>
      </c>
      <c r="AN210" s="47">
        <f t="shared" si="360"/>
        <v>0</v>
      </c>
      <c r="AO210" s="30">
        <f t="shared" si="376"/>
        <v>2</v>
      </c>
      <c r="AP210" s="36">
        <f t="shared" si="377"/>
        <v>24.6</v>
      </c>
    </row>
    <row r="211" spans="1:42" ht="14.25" customHeight="1" x14ac:dyDescent="0.25">
      <c r="A211" s="92" t="s">
        <v>793</v>
      </c>
      <c r="B211" s="12" t="s">
        <v>390</v>
      </c>
      <c r="C211" s="11" t="s">
        <v>109</v>
      </c>
      <c r="D211" s="11" t="s">
        <v>391</v>
      </c>
      <c r="E211" s="13" t="s">
        <v>31</v>
      </c>
      <c r="F211" s="12">
        <v>4</v>
      </c>
      <c r="G211" s="14">
        <v>85.64</v>
      </c>
      <c r="H211" s="14">
        <v>104.88</v>
      </c>
      <c r="I211" s="14">
        <v>419.52</v>
      </c>
      <c r="J211" s="28">
        <v>2.9944325481798717E-4</v>
      </c>
      <c r="K211" s="186"/>
      <c r="L211" s="186"/>
      <c r="M211" s="186"/>
      <c r="N211" s="186"/>
      <c r="O211" s="30"/>
      <c r="P211" s="43">
        <f t="shared" si="361"/>
        <v>0</v>
      </c>
      <c r="Q211" s="30">
        <f t="shared" si="362"/>
        <v>0</v>
      </c>
      <c r="R211" s="25">
        <f t="shared" si="363"/>
        <v>0</v>
      </c>
      <c r="S211" s="30">
        <f t="shared" si="364"/>
        <v>4</v>
      </c>
      <c r="T211" s="36">
        <f t="shared" si="365"/>
        <v>419.52</v>
      </c>
      <c r="U211" s="30"/>
      <c r="V211" s="43">
        <f t="shared" si="366"/>
        <v>0</v>
      </c>
      <c r="W211" s="30">
        <f t="shared" si="367"/>
        <v>0</v>
      </c>
      <c r="X211" s="47">
        <f t="shared" si="358"/>
        <v>0</v>
      </c>
      <c r="Y211" s="30">
        <f t="shared" si="368"/>
        <v>4</v>
      </c>
      <c r="Z211" s="36">
        <f t="shared" si="369"/>
        <v>419.52</v>
      </c>
      <c r="AA211" s="52"/>
      <c r="AB211" s="43">
        <f t="shared" si="370"/>
        <v>0</v>
      </c>
      <c r="AC211" s="30"/>
      <c r="AD211" s="43"/>
      <c r="AE211" s="30">
        <f t="shared" si="371"/>
        <v>0</v>
      </c>
      <c r="AF211" s="47">
        <f t="shared" si="359"/>
        <v>0</v>
      </c>
      <c r="AG211" s="30">
        <f t="shared" si="372"/>
        <v>4</v>
      </c>
      <c r="AH211" s="36">
        <f t="shared" si="373"/>
        <v>419.52</v>
      </c>
      <c r="AI211" s="52"/>
      <c r="AJ211" s="43">
        <f t="shared" si="374"/>
        <v>0</v>
      </c>
      <c r="AK211" s="30"/>
      <c r="AL211" s="43"/>
      <c r="AM211" s="30">
        <f t="shared" si="375"/>
        <v>0</v>
      </c>
      <c r="AN211" s="47">
        <f t="shared" si="360"/>
        <v>0</v>
      </c>
      <c r="AO211" s="30">
        <f t="shared" si="376"/>
        <v>4</v>
      </c>
      <c r="AP211" s="36">
        <f t="shared" si="377"/>
        <v>419.52</v>
      </c>
    </row>
    <row r="212" spans="1:42" ht="14.25" customHeight="1" x14ac:dyDescent="0.25">
      <c r="A212" s="92" t="s">
        <v>794</v>
      </c>
      <c r="B212" s="12" t="s">
        <v>392</v>
      </c>
      <c r="C212" s="11" t="s">
        <v>29</v>
      </c>
      <c r="D212" s="11" t="s">
        <v>393</v>
      </c>
      <c r="E212" s="13" t="s">
        <v>116</v>
      </c>
      <c r="F212" s="12">
        <v>7.28</v>
      </c>
      <c r="G212" s="14">
        <v>13.76</v>
      </c>
      <c r="H212" s="14">
        <v>16.850000000000001</v>
      </c>
      <c r="I212" s="14">
        <v>122.66</v>
      </c>
      <c r="J212" s="28">
        <v>8.7551748750892223E-5</v>
      </c>
      <c r="K212" s="186"/>
      <c r="L212" s="186"/>
      <c r="M212" s="186"/>
      <c r="N212" s="186"/>
      <c r="O212" s="30"/>
      <c r="P212" s="43">
        <f t="shared" si="361"/>
        <v>0</v>
      </c>
      <c r="Q212" s="30">
        <f t="shared" si="362"/>
        <v>0</v>
      </c>
      <c r="R212" s="25">
        <f t="shared" si="363"/>
        <v>0</v>
      </c>
      <c r="S212" s="30">
        <f t="shared" si="364"/>
        <v>7.28</v>
      </c>
      <c r="T212" s="36">
        <f t="shared" si="365"/>
        <v>122.66800000000002</v>
      </c>
      <c r="U212" s="30"/>
      <c r="V212" s="43">
        <f t="shared" si="366"/>
        <v>0</v>
      </c>
      <c r="W212" s="30">
        <f t="shared" si="367"/>
        <v>0</v>
      </c>
      <c r="X212" s="47">
        <f t="shared" si="358"/>
        <v>0</v>
      </c>
      <c r="Y212" s="30">
        <f t="shared" si="368"/>
        <v>7.28</v>
      </c>
      <c r="Z212" s="36">
        <f t="shared" si="369"/>
        <v>122.66800000000002</v>
      </c>
      <c r="AA212" s="52"/>
      <c r="AB212" s="43">
        <f t="shared" si="370"/>
        <v>0</v>
      </c>
      <c r="AC212" s="30"/>
      <c r="AD212" s="43"/>
      <c r="AE212" s="30">
        <f t="shared" si="371"/>
        <v>0</v>
      </c>
      <c r="AF212" s="47">
        <f t="shared" si="359"/>
        <v>0</v>
      </c>
      <c r="AG212" s="30">
        <f t="shared" si="372"/>
        <v>7.28</v>
      </c>
      <c r="AH212" s="36">
        <f t="shared" si="373"/>
        <v>122.66800000000002</v>
      </c>
      <c r="AI212" s="52"/>
      <c r="AJ212" s="43">
        <f t="shared" si="374"/>
        <v>0</v>
      </c>
      <c r="AK212" s="30"/>
      <c r="AL212" s="43"/>
      <c r="AM212" s="30">
        <f t="shared" si="375"/>
        <v>0</v>
      </c>
      <c r="AN212" s="47">
        <f t="shared" si="360"/>
        <v>0</v>
      </c>
      <c r="AO212" s="30">
        <f t="shared" si="376"/>
        <v>7.28</v>
      </c>
      <c r="AP212" s="36">
        <f t="shared" si="377"/>
        <v>122.66800000000002</v>
      </c>
    </row>
    <row r="213" spans="1:42" ht="25.5" customHeight="1" x14ac:dyDescent="0.25">
      <c r="A213" s="92" t="s">
        <v>795</v>
      </c>
      <c r="B213" s="12" t="s">
        <v>394</v>
      </c>
      <c r="C213" s="11" t="s">
        <v>26</v>
      </c>
      <c r="D213" s="11" t="s">
        <v>395</v>
      </c>
      <c r="E213" s="13" t="s">
        <v>31</v>
      </c>
      <c r="F213" s="12">
        <v>1</v>
      </c>
      <c r="G213" s="14">
        <v>108.54</v>
      </c>
      <c r="H213" s="14">
        <v>132.91999999999999</v>
      </c>
      <c r="I213" s="14">
        <v>132.91999999999999</v>
      </c>
      <c r="J213" s="28">
        <v>9.4875089221984295E-5</v>
      </c>
      <c r="K213" s="186"/>
      <c r="L213" s="186"/>
      <c r="M213" s="186"/>
      <c r="N213" s="186"/>
      <c r="O213" s="30"/>
      <c r="P213" s="43">
        <f t="shared" si="361"/>
        <v>0</v>
      </c>
      <c r="Q213" s="30">
        <f t="shared" si="362"/>
        <v>0</v>
      </c>
      <c r="R213" s="25">
        <f t="shared" si="363"/>
        <v>0</v>
      </c>
      <c r="S213" s="30">
        <f t="shared" si="364"/>
        <v>1</v>
      </c>
      <c r="T213" s="36">
        <f t="shared" si="365"/>
        <v>132.91999999999999</v>
      </c>
      <c r="U213" s="30"/>
      <c r="V213" s="43">
        <f t="shared" si="366"/>
        <v>0</v>
      </c>
      <c r="W213" s="30">
        <f t="shared" si="367"/>
        <v>0</v>
      </c>
      <c r="X213" s="47">
        <f t="shared" si="358"/>
        <v>0</v>
      </c>
      <c r="Y213" s="30">
        <f t="shared" si="368"/>
        <v>1</v>
      </c>
      <c r="Z213" s="36">
        <f t="shared" si="369"/>
        <v>132.91999999999999</v>
      </c>
      <c r="AA213" s="52"/>
      <c r="AB213" s="43">
        <f t="shared" si="370"/>
        <v>0</v>
      </c>
      <c r="AC213" s="30"/>
      <c r="AD213" s="43"/>
      <c r="AE213" s="30">
        <f t="shared" si="371"/>
        <v>0</v>
      </c>
      <c r="AF213" s="47">
        <f t="shared" si="359"/>
        <v>0</v>
      </c>
      <c r="AG213" s="30">
        <f t="shared" si="372"/>
        <v>1</v>
      </c>
      <c r="AH213" s="36">
        <f t="shared" si="373"/>
        <v>132.91999999999999</v>
      </c>
      <c r="AI213" s="52"/>
      <c r="AJ213" s="43">
        <f t="shared" si="374"/>
        <v>0</v>
      </c>
      <c r="AK213" s="30"/>
      <c r="AL213" s="43"/>
      <c r="AM213" s="30">
        <f t="shared" si="375"/>
        <v>0</v>
      </c>
      <c r="AN213" s="47">
        <f t="shared" si="360"/>
        <v>0</v>
      </c>
      <c r="AO213" s="30">
        <f t="shared" si="376"/>
        <v>1</v>
      </c>
      <c r="AP213" s="36">
        <f t="shared" si="377"/>
        <v>132.91999999999999</v>
      </c>
    </row>
    <row r="214" spans="1:42" ht="14.25" customHeight="1" x14ac:dyDescent="0.25">
      <c r="A214" s="92" t="s">
        <v>796</v>
      </c>
      <c r="B214" s="12" t="s">
        <v>396</v>
      </c>
      <c r="C214" s="11" t="s">
        <v>22</v>
      </c>
      <c r="D214" s="11" t="s">
        <v>397</v>
      </c>
      <c r="E214" s="13" t="s">
        <v>365</v>
      </c>
      <c r="F214" s="12">
        <v>2</v>
      </c>
      <c r="G214" s="14">
        <v>41.46</v>
      </c>
      <c r="H214" s="14">
        <v>50.77</v>
      </c>
      <c r="I214" s="14">
        <v>101.54</v>
      </c>
      <c r="J214" s="28">
        <v>7.2476802284082798E-5</v>
      </c>
      <c r="K214" s="186"/>
      <c r="L214" s="186"/>
      <c r="M214" s="186"/>
      <c r="N214" s="186"/>
      <c r="O214" s="30"/>
      <c r="P214" s="43">
        <f t="shared" si="361"/>
        <v>0</v>
      </c>
      <c r="Q214" s="30">
        <f t="shared" si="362"/>
        <v>0</v>
      </c>
      <c r="R214" s="25">
        <f t="shared" si="363"/>
        <v>0</v>
      </c>
      <c r="S214" s="30">
        <f t="shared" si="364"/>
        <v>2</v>
      </c>
      <c r="T214" s="36">
        <f t="shared" si="365"/>
        <v>101.54</v>
      </c>
      <c r="U214" s="30"/>
      <c r="V214" s="43">
        <f t="shared" si="366"/>
        <v>0</v>
      </c>
      <c r="W214" s="30">
        <f t="shared" si="367"/>
        <v>0</v>
      </c>
      <c r="X214" s="47">
        <f t="shared" si="358"/>
        <v>0</v>
      </c>
      <c r="Y214" s="30">
        <f t="shared" si="368"/>
        <v>2</v>
      </c>
      <c r="Z214" s="36">
        <f t="shared" si="369"/>
        <v>101.54</v>
      </c>
      <c r="AA214" s="52"/>
      <c r="AB214" s="43">
        <f t="shared" si="370"/>
        <v>0</v>
      </c>
      <c r="AC214" s="30"/>
      <c r="AD214" s="43"/>
      <c r="AE214" s="30">
        <f t="shared" si="371"/>
        <v>0</v>
      </c>
      <c r="AF214" s="47">
        <f t="shared" si="359"/>
        <v>0</v>
      </c>
      <c r="AG214" s="30">
        <f t="shared" si="372"/>
        <v>2</v>
      </c>
      <c r="AH214" s="36">
        <f t="shared" si="373"/>
        <v>101.54</v>
      </c>
      <c r="AI214" s="52"/>
      <c r="AJ214" s="43">
        <f t="shared" si="374"/>
        <v>0</v>
      </c>
      <c r="AK214" s="30"/>
      <c r="AL214" s="43"/>
      <c r="AM214" s="30">
        <f t="shared" si="375"/>
        <v>0</v>
      </c>
      <c r="AN214" s="47">
        <f t="shared" si="360"/>
        <v>0</v>
      </c>
      <c r="AO214" s="30">
        <f t="shared" si="376"/>
        <v>2</v>
      </c>
      <c r="AP214" s="36">
        <f t="shared" si="377"/>
        <v>101.54</v>
      </c>
    </row>
    <row r="215" spans="1:42" ht="25.5" customHeight="1" x14ac:dyDescent="0.25">
      <c r="A215" s="92" t="s">
        <v>797</v>
      </c>
      <c r="B215" s="12" t="s">
        <v>398</v>
      </c>
      <c r="C215" s="11" t="s">
        <v>109</v>
      </c>
      <c r="D215" s="11" t="s">
        <v>399</v>
      </c>
      <c r="E215" s="13" t="s">
        <v>31</v>
      </c>
      <c r="F215" s="12">
        <v>1</v>
      </c>
      <c r="G215" s="14">
        <v>1234.49</v>
      </c>
      <c r="H215" s="14">
        <v>1511.87</v>
      </c>
      <c r="I215" s="14">
        <v>1511.87</v>
      </c>
      <c r="J215" s="28">
        <v>1.0791363311920057E-3</v>
      </c>
      <c r="K215" s="186"/>
      <c r="L215" s="186"/>
      <c r="M215" s="186"/>
      <c r="N215" s="186"/>
      <c r="O215" s="30"/>
      <c r="P215" s="43">
        <f t="shared" si="361"/>
        <v>0</v>
      </c>
      <c r="Q215" s="30">
        <f t="shared" si="362"/>
        <v>0</v>
      </c>
      <c r="R215" s="25">
        <f t="shared" si="363"/>
        <v>0</v>
      </c>
      <c r="S215" s="30">
        <f t="shared" si="364"/>
        <v>1</v>
      </c>
      <c r="T215" s="36">
        <f t="shared" si="365"/>
        <v>1511.87</v>
      </c>
      <c r="U215" s="30"/>
      <c r="V215" s="43">
        <f t="shared" si="366"/>
        <v>0</v>
      </c>
      <c r="W215" s="30">
        <f t="shared" si="367"/>
        <v>0</v>
      </c>
      <c r="X215" s="47">
        <f t="shared" si="358"/>
        <v>0</v>
      </c>
      <c r="Y215" s="30">
        <f t="shared" si="368"/>
        <v>1</v>
      </c>
      <c r="Z215" s="36">
        <f t="shared" si="369"/>
        <v>1511.87</v>
      </c>
      <c r="AA215" s="52"/>
      <c r="AB215" s="43">
        <f t="shared" si="370"/>
        <v>0</v>
      </c>
      <c r="AC215" s="30"/>
      <c r="AD215" s="43"/>
      <c r="AE215" s="30">
        <f t="shared" si="371"/>
        <v>0</v>
      </c>
      <c r="AF215" s="47">
        <f t="shared" si="359"/>
        <v>0</v>
      </c>
      <c r="AG215" s="30">
        <f t="shared" si="372"/>
        <v>1</v>
      </c>
      <c r="AH215" s="36">
        <f t="shared" si="373"/>
        <v>1511.87</v>
      </c>
      <c r="AI215" s="52"/>
      <c r="AJ215" s="43">
        <f t="shared" si="374"/>
        <v>0</v>
      </c>
      <c r="AK215" s="30"/>
      <c r="AL215" s="43"/>
      <c r="AM215" s="30">
        <f t="shared" si="375"/>
        <v>0</v>
      </c>
      <c r="AN215" s="47">
        <f t="shared" si="360"/>
        <v>0</v>
      </c>
      <c r="AO215" s="30">
        <f t="shared" si="376"/>
        <v>1</v>
      </c>
      <c r="AP215" s="36">
        <f t="shared" si="377"/>
        <v>1511.87</v>
      </c>
    </row>
    <row r="216" spans="1:42" ht="25.5" customHeight="1" x14ac:dyDescent="0.25">
      <c r="A216" s="92" t="s">
        <v>798</v>
      </c>
      <c r="B216" s="12" t="s">
        <v>400</v>
      </c>
      <c r="C216" s="11" t="s">
        <v>109</v>
      </c>
      <c r="D216" s="11" t="s">
        <v>401</v>
      </c>
      <c r="E216" s="13" t="s">
        <v>31</v>
      </c>
      <c r="F216" s="12">
        <v>1</v>
      </c>
      <c r="G216" s="14">
        <v>72.010000000000005</v>
      </c>
      <c r="H216" s="14">
        <v>88.19</v>
      </c>
      <c r="I216" s="14">
        <v>88.19</v>
      </c>
      <c r="J216" s="28">
        <v>6.2947894361170591E-5</v>
      </c>
      <c r="K216" s="186"/>
      <c r="L216" s="186"/>
      <c r="M216" s="186"/>
      <c r="N216" s="186"/>
      <c r="O216" s="30"/>
      <c r="P216" s="43">
        <f t="shared" si="361"/>
        <v>0</v>
      </c>
      <c r="Q216" s="30">
        <f t="shared" si="362"/>
        <v>0</v>
      </c>
      <c r="R216" s="25">
        <f t="shared" si="363"/>
        <v>0</v>
      </c>
      <c r="S216" s="30">
        <f t="shared" si="364"/>
        <v>1</v>
      </c>
      <c r="T216" s="36">
        <f t="shared" si="365"/>
        <v>88.19</v>
      </c>
      <c r="U216" s="30"/>
      <c r="V216" s="43">
        <f t="shared" si="366"/>
        <v>0</v>
      </c>
      <c r="W216" s="30">
        <f t="shared" si="367"/>
        <v>0</v>
      </c>
      <c r="X216" s="47">
        <f t="shared" si="358"/>
        <v>0</v>
      </c>
      <c r="Y216" s="30">
        <f t="shared" si="368"/>
        <v>1</v>
      </c>
      <c r="Z216" s="36">
        <f t="shared" si="369"/>
        <v>88.19</v>
      </c>
      <c r="AA216" s="52"/>
      <c r="AB216" s="43">
        <f t="shared" si="370"/>
        <v>0</v>
      </c>
      <c r="AC216" s="30"/>
      <c r="AD216" s="43"/>
      <c r="AE216" s="30">
        <f t="shared" si="371"/>
        <v>0</v>
      </c>
      <c r="AF216" s="47">
        <f t="shared" si="359"/>
        <v>0</v>
      </c>
      <c r="AG216" s="30">
        <f t="shared" si="372"/>
        <v>1</v>
      </c>
      <c r="AH216" s="36">
        <f t="shared" si="373"/>
        <v>88.19</v>
      </c>
      <c r="AI216" s="52"/>
      <c r="AJ216" s="43">
        <f t="shared" si="374"/>
        <v>0</v>
      </c>
      <c r="AK216" s="30"/>
      <c r="AL216" s="43"/>
      <c r="AM216" s="30">
        <f t="shared" si="375"/>
        <v>0</v>
      </c>
      <c r="AN216" s="47">
        <f t="shared" si="360"/>
        <v>0</v>
      </c>
      <c r="AO216" s="30">
        <f t="shared" si="376"/>
        <v>1</v>
      </c>
      <c r="AP216" s="36">
        <f t="shared" si="377"/>
        <v>88.19</v>
      </c>
    </row>
    <row r="217" spans="1:42" ht="14.25" customHeight="1" x14ac:dyDescent="0.25">
      <c r="A217" s="92" t="s">
        <v>799</v>
      </c>
      <c r="B217" s="12" t="s">
        <v>402</v>
      </c>
      <c r="C217" s="11" t="s">
        <v>109</v>
      </c>
      <c r="D217" s="11" t="s">
        <v>403</v>
      </c>
      <c r="E217" s="13" t="s">
        <v>31</v>
      </c>
      <c r="F217" s="12">
        <v>1</v>
      </c>
      <c r="G217" s="14">
        <v>72.010000000000005</v>
      </c>
      <c r="H217" s="14">
        <v>88.19</v>
      </c>
      <c r="I217" s="14">
        <v>88.19</v>
      </c>
      <c r="J217" s="28">
        <v>6.2947894361170591E-5</v>
      </c>
      <c r="K217" s="186"/>
      <c r="L217" s="186"/>
      <c r="M217" s="186"/>
      <c r="N217" s="186"/>
      <c r="O217" s="30"/>
      <c r="P217" s="43">
        <f t="shared" si="361"/>
        <v>0</v>
      </c>
      <c r="Q217" s="30">
        <f t="shared" si="362"/>
        <v>0</v>
      </c>
      <c r="R217" s="25">
        <f t="shared" si="363"/>
        <v>0</v>
      </c>
      <c r="S217" s="30">
        <f t="shared" si="364"/>
        <v>1</v>
      </c>
      <c r="T217" s="36">
        <f t="shared" si="365"/>
        <v>88.19</v>
      </c>
      <c r="U217" s="30"/>
      <c r="V217" s="43">
        <f t="shared" si="366"/>
        <v>0</v>
      </c>
      <c r="W217" s="30">
        <f t="shared" si="367"/>
        <v>0</v>
      </c>
      <c r="X217" s="47">
        <f t="shared" si="358"/>
        <v>0</v>
      </c>
      <c r="Y217" s="30">
        <f t="shared" si="368"/>
        <v>1</v>
      </c>
      <c r="Z217" s="36">
        <f t="shared" si="369"/>
        <v>88.19</v>
      </c>
      <c r="AA217" s="52"/>
      <c r="AB217" s="43">
        <f t="shared" si="370"/>
        <v>0</v>
      </c>
      <c r="AC217" s="30"/>
      <c r="AD217" s="43"/>
      <c r="AE217" s="30">
        <f t="shared" si="371"/>
        <v>0</v>
      </c>
      <c r="AF217" s="47">
        <f t="shared" si="359"/>
        <v>0</v>
      </c>
      <c r="AG217" s="30">
        <f t="shared" si="372"/>
        <v>1</v>
      </c>
      <c r="AH217" s="36">
        <f t="shared" si="373"/>
        <v>88.19</v>
      </c>
      <c r="AI217" s="52"/>
      <c r="AJ217" s="43">
        <f t="shared" si="374"/>
        <v>0</v>
      </c>
      <c r="AK217" s="30"/>
      <c r="AL217" s="43"/>
      <c r="AM217" s="30">
        <f t="shared" si="375"/>
        <v>0</v>
      </c>
      <c r="AN217" s="47">
        <f t="shared" si="360"/>
        <v>0</v>
      </c>
      <c r="AO217" s="30">
        <f t="shared" si="376"/>
        <v>1</v>
      </c>
      <c r="AP217" s="36">
        <f t="shared" si="377"/>
        <v>88.19</v>
      </c>
    </row>
    <row r="218" spans="1:42" ht="14.25" customHeight="1" x14ac:dyDescent="0.25">
      <c r="A218" s="91" t="s">
        <v>404</v>
      </c>
      <c r="B218" s="8"/>
      <c r="C218" s="8"/>
      <c r="D218" s="8" t="s">
        <v>405</v>
      </c>
      <c r="E218" s="8"/>
      <c r="F218" s="9"/>
      <c r="G218" s="8"/>
      <c r="H218" s="8"/>
      <c r="I218" s="10">
        <v>2202.83</v>
      </c>
      <c r="J218" s="27">
        <v>1.572326909350464E-3</v>
      </c>
      <c r="K218" s="185"/>
      <c r="L218" s="185"/>
      <c r="M218" s="185"/>
      <c r="N218" s="185"/>
      <c r="O218" s="32"/>
      <c r="P218" s="44"/>
      <c r="Q218" s="22"/>
      <c r="R218" s="22"/>
      <c r="S218" s="32"/>
      <c r="T218" s="37">
        <f>SUM(T219:T222)</f>
        <v>2202.83</v>
      </c>
      <c r="U218" s="32"/>
      <c r="V218" s="44"/>
      <c r="W218" s="32"/>
      <c r="X218" s="48"/>
      <c r="Y218" s="32"/>
      <c r="Z218" s="37">
        <f>SUM(Z219:Z222)</f>
        <v>2202.83</v>
      </c>
      <c r="AA218" s="53"/>
      <c r="AB218" s="44"/>
      <c r="AC218" s="32"/>
      <c r="AD218" s="44"/>
      <c r="AE218" s="32"/>
      <c r="AF218" s="48"/>
      <c r="AG218" s="32"/>
      <c r="AH218" s="37">
        <f>SUM(AH219:AH222)</f>
        <v>2202.83</v>
      </c>
      <c r="AI218" s="53"/>
      <c r="AJ218" s="44">
        <f t="shared" si="374"/>
        <v>0</v>
      </c>
      <c r="AK218" s="32"/>
      <c r="AL218" s="44"/>
      <c r="AM218" s="32"/>
      <c r="AN218" s="48"/>
      <c r="AO218" s="32"/>
      <c r="AP218" s="37">
        <f>SUM(AP219:AP222)</f>
        <v>2202.83</v>
      </c>
    </row>
    <row r="219" spans="1:42" ht="14.25" customHeight="1" x14ac:dyDescent="0.25">
      <c r="A219" s="92" t="s">
        <v>800</v>
      </c>
      <c r="B219" s="12" t="s">
        <v>406</v>
      </c>
      <c r="C219" s="11" t="s">
        <v>26</v>
      </c>
      <c r="D219" s="11" t="s">
        <v>407</v>
      </c>
      <c r="E219" s="13" t="s">
        <v>31</v>
      </c>
      <c r="F219" s="12">
        <v>5</v>
      </c>
      <c r="G219" s="14">
        <v>236.35</v>
      </c>
      <c r="H219" s="14">
        <v>289.45</v>
      </c>
      <c r="I219" s="14">
        <v>1447.25</v>
      </c>
      <c r="J219" s="28">
        <v>1.0330121341898643E-3</v>
      </c>
      <c r="K219" s="186"/>
      <c r="L219" s="186"/>
      <c r="M219" s="186"/>
      <c r="N219" s="186"/>
      <c r="O219" s="30"/>
      <c r="P219" s="43">
        <f t="shared" ref="P219:P222" si="378">O219*H219</f>
        <v>0</v>
      </c>
      <c r="Q219" s="30">
        <f t="shared" ref="Q219:Q222" si="379">O219</f>
        <v>0</v>
      </c>
      <c r="R219" s="25">
        <f>Q219/F219</f>
        <v>0</v>
      </c>
      <c r="S219" s="30">
        <f t="shared" ref="S219:S222" si="380">F219-Q219</f>
        <v>5</v>
      </c>
      <c r="T219" s="36">
        <f>S219*H219</f>
        <v>1447.25</v>
      </c>
      <c r="U219" s="30"/>
      <c r="V219" s="43">
        <f>U219*H219</f>
        <v>0</v>
      </c>
      <c r="W219" s="30">
        <f t="shared" ref="W219:W222" si="381">Q219+U219</f>
        <v>0</v>
      </c>
      <c r="X219" s="47">
        <f t="shared" si="358"/>
        <v>0</v>
      </c>
      <c r="Y219" s="30">
        <f t="shared" ref="Y219:Y222" si="382">F219-W219</f>
        <v>5</v>
      </c>
      <c r="Z219" s="36">
        <f>Y219*H219</f>
        <v>1447.25</v>
      </c>
      <c r="AA219" s="52"/>
      <c r="AB219" s="43">
        <f>AA219*H219</f>
        <v>0</v>
      </c>
      <c r="AC219" s="30"/>
      <c r="AD219" s="43"/>
      <c r="AE219" s="30">
        <f t="shared" ref="AE219:AE222" si="383">W219+AC219</f>
        <v>0</v>
      </c>
      <c r="AF219" s="47">
        <f t="shared" si="359"/>
        <v>0</v>
      </c>
      <c r="AG219" s="30">
        <f t="shared" ref="AG219:AG222" si="384">F219-AE219</f>
        <v>5</v>
      </c>
      <c r="AH219" s="36">
        <f>AG219*H219</f>
        <v>1447.25</v>
      </c>
      <c r="AI219" s="52"/>
      <c r="AJ219" s="43">
        <f t="shared" ref="AJ219:AJ222" si="385">AI219*T219</f>
        <v>0</v>
      </c>
      <c r="AK219" s="30"/>
      <c r="AL219" s="43"/>
      <c r="AM219" s="30">
        <f t="shared" ref="AM219:AM222" si="386">AE219+AK219</f>
        <v>0</v>
      </c>
      <c r="AN219" s="47">
        <f t="shared" si="360"/>
        <v>0</v>
      </c>
      <c r="AO219" s="30">
        <f t="shared" ref="AO219:AO222" si="387">F219-AM219</f>
        <v>5</v>
      </c>
      <c r="AP219" s="36">
        <f>AO219*H219</f>
        <v>1447.25</v>
      </c>
    </row>
    <row r="220" spans="1:42" ht="14.25" customHeight="1" x14ac:dyDescent="0.25">
      <c r="A220" s="92" t="s">
        <v>801</v>
      </c>
      <c r="B220" s="12" t="s">
        <v>408</v>
      </c>
      <c r="C220" s="11" t="s">
        <v>26</v>
      </c>
      <c r="D220" s="11" t="s">
        <v>409</v>
      </c>
      <c r="E220" s="13" t="s">
        <v>31</v>
      </c>
      <c r="F220" s="12">
        <v>16</v>
      </c>
      <c r="G220" s="14">
        <v>18.53</v>
      </c>
      <c r="H220" s="14">
        <v>22.69</v>
      </c>
      <c r="I220" s="14">
        <v>363.04</v>
      </c>
      <c r="J220" s="28">
        <v>2.5912919343326195E-4</v>
      </c>
      <c r="K220" s="186"/>
      <c r="L220" s="186"/>
      <c r="M220" s="186"/>
      <c r="N220" s="186"/>
      <c r="O220" s="30"/>
      <c r="P220" s="43">
        <f t="shared" si="378"/>
        <v>0</v>
      </c>
      <c r="Q220" s="30">
        <f t="shared" si="379"/>
        <v>0</v>
      </c>
      <c r="R220" s="25">
        <f>Q220/F220</f>
        <v>0</v>
      </c>
      <c r="S220" s="30">
        <f t="shared" si="380"/>
        <v>16</v>
      </c>
      <c r="T220" s="36">
        <f>S220*H220</f>
        <v>363.04</v>
      </c>
      <c r="U220" s="30"/>
      <c r="V220" s="43">
        <f>U220*H220</f>
        <v>0</v>
      </c>
      <c r="W220" s="30">
        <f t="shared" si="381"/>
        <v>0</v>
      </c>
      <c r="X220" s="47">
        <f t="shared" si="358"/>
        <v>0</v>
      </c>
      <c r="Y220" s="30">
        <f t="shared" si="382"/>
        <v>16</v>
      </c>
      <c r="Z220" s="36">
        <f>Y220*H220</f>
        <v>363.04</v>
      </c>
      <c r="AA220" s="52"/>
      <c r="AB220" s="43">
        <f>AA220*H220</f>
        <v>0</v>
      </c>
      <c r="AC220" s="30"/>
      <c r="AD220" s="43"/>
      <c r="AE220" s="30">
        <f t="shared" si="383"/>
        <v>0</v>
      </c>
      <c r="AF220" s="47">
        <f t="shared" si="359"/>
        <v>0</v>
      </c>
      <c r="AG220" s="30">
        <f t="shared" si="384"/>
        <v>16</v>
      </c>
      <c r="AH220" s="36">
        <f>AG220*H220</f>
        <v>363.04</v>
      </c>
      <c r="AI220" s="52"/>
      <c r="AJ220" s="43">
        <f t="shared" si="385"/>
        <v>0</v>
      </c>
      <c r="AK220" s="30"/>
      <c r="AL220" s="43"/>
      <c r="AM220" s="30">
        <f t="shared" si="386"/>
        <v>0</v>
      </c>
      <c r="AN220" s="47">
        <f t="shared" si="360"/>
        <v>0</v>
      </c>
      <c r="AO220" s="30">
        <f t="shared" si="387"/>
        <v>16</v>
      </c>
      <c r="AP220" s="36">
        <f>AO220*H220</f>
        <v>363.04</v>
      </c>
    </row>
    <row r="221" spans="1:42" ht="14.25" customHeight="1" x14ac:dyDescent="0.25">
      <c r="A221" s="92" t="s">
        <v>802</v>
      </c>
      <c r="B221" s="12" t="s">
        <v>410</v>
      </c>
      <c r="C221" s="11" t="s">
        <v>22</v>
      </c>
      <c r="D221" s="11" t="s">
        <v>411</v>
      </c>
      <c r="E221" s="13" t="s">
        <v>24</v>
      </c>
      <c r="F221" s="12">
        <v>5</v>
      </c>
      <c r="G221" s="14">
        <v>21.45</v>
      </c>
      <c r="H221" s="14">
        <v>26.26</v>
      </c>
      <c r="I221" s="14">
        <v>131.30000000000001</v>
      </c>
      <c r="J221" s="28">
        <v>9.3718772305496071E-5</v>
      </c>
      <c r="K221" s="186"/>
      <c r="L221" s="186"/>
      <c r="M221" s="186"/>
      <c r="N221" s="186"/>
      <c r="O221" s="30"/>
      <c r="P221" s="43">
        <f t="shared" si="378"/>
        <v>0</v>
      </c>
      <c r="Q221" s="30">
        <f t="shared" si="379"/>
        <v>0</v>
      </c>
      <c r="R221" s="25">
        <f>Q221/F221</f>
        <v>0</v>
      </c>
      <c r="S221" s="30">
        <f t="shared" si="380"/>
        <v>5</v>
      </c>
      <c r="T221" s="36">
        <f>S221*H221</f>
        <v>131.30000000000001</v>
      </c>
      <c r="U221" s="30"/>
      <c r="V221" s="43">
        <f>U221*H221</f>
        <v>0</v>
      </c>
      <c r="W221" s="30">
        <f t="shared" si="381"/>
        <v>0</v>
      </c>
      <c r="X221" s="47">
        <f t="shared" si="358"/>
        <v>0</v>
      </c>
      <c r="Y221" s="30">
        <f t="shared" si="382"/>
        <v>5</v>
      </c>
      <c r="Z221" s="36">
        <f>Y221*H221</f>
        <v>131.30000000000001</v>
      </c>
      <c r="AA221" s="52"/>
      <c r="AB221" s="43">
        <f>AA221*H221</f>
        <v>0</v>
      </c>
      <c r="AC221" s="30"/>
      <c r="AD221" s="43"/>
      <c r="AE221" s="30">
        <f t="shared" si="383"/>
        <v>0</v>
      </c>
      <c r="AF221" s="47">
        <f t="shared" si="359"/>
        <v>0</v>
      </c>
      <c r="AG221" s="30">
        <f t="shared" si="384"/>
        <v>5</v>
      </c>
      <c r="AH221" s="36">
        <f>AG221*H221</f>
        <v>131.30000000000001</v>
      </c>
      <c r="AI221" s="52"/>
      <c r="AJ221" s="43">
        <f t="shared" si="385"/>
        <v>0</v>
      </c>
      <c r="AK221" s="30"/>
      <c r="AL221" s="43"/>
      <c r="AM221" s="30">
        <f t="shared" si="386"/>
        <v>0</v>
      </c>
      <c r="AN221" s="47">
        <f t="shared" si="360"/>
        <v>0</v>
      </c>
      <c r="AO221" s="30">
        <f t="shared" si="387"/>
        <v>5</v>
      </c>
      <c r="AP221" s="36">
        <f>AO221*H221</f>
        <v>131.30000000000001</v>
      </c>
    </row>
    <row r="222" spans="1:42" ht="14.25" customHeight="1" x14ac:dyDescent="0.25">
      <c r="A222" s="92" t="s">
        <v>803</v>
      </c>
      <c r="B222" s="12" t="s">
        <v>412</v>
      </c>
      <c r="C222" s="11" t="s">
        <v>22</v>
      </c>
      <c r="D222" s="11" t="s">
        <v>413</v>
      </c>
      <c r="E222" s="13" t="s">
        <v>365</v>
      </c>
      <c r="F222" s="12">
        <v>21</v>
      </c>
      <c r="G222" s="14">
        <v>10.16</v>
      </c>
      <c r="H222" s="14">
        <v>12.44</v>
      </c>
      <c r="I222" s="14">
        <v>261.24</v>
      </c>
      <c r="J222" s="28">
        <v>1.8646680942184155E-4</v>
      </c>
      <c r="K222" s="186"/>
      <c r="L222" s="186"/>
      <c r="M222" s="186"/>
      <c r="N222" s="186"/>
      <c r="O222" s="30"/>
      <c r="P222" s="43">
        <f t="shared" si="378"/>
        <v>0</v>
      </c>
      <c r="Q222" s="30">
        <f t="shared" si="379"/>
        <v>0</v>
      </c>
      <c r="R222" s="25">
        <f>Q222/F222</f>
        <v>0</v>
      </c>
      <c r="S222" s="30">
        <f t="shared" si="380"/>
        <v>21</v>
      </c>
      <c r="T222" s="36">
        <f>S222*H222</f>
        <v>261.24</v>
      </c>
      <c r="U222" s="30"/>
      <c r="V222" s="43">
        <f>U222*H222</f>
        <v>0</v>
      </c>
      <c r="W222" s="30">
        <f t="shared" si="381"/>
        <v>0</v>
      </c>
      <c r="X222" s="47">
        <f t="shared" si="358"/>
        <v>0</v>
      </c>
      <c r="Y222" s="30">
        <f t="shared" si="382"/>
        <v>21</v>
      </c>
      <c r="Z222" s="36">
        <f>Y222*H222</f>
        <v>261.24</v>
      </c>
      <c r="AA222" s="52"/>
      <c r="AB222" s="43">
        <f>AA222*H222</f>
        <v>0</v>
      </c>
      <c r="AC222" s="30"/>
      <c r="AD222" s="43"/>
      <c r="AE222" s="30">
        <f t="shared" si="383"/>
        <v>0</v>
      </c>
      <c r="AF222" s="47">
        <f t="shared" si="359"/>
        <v>0</v>
      </c>
      <c r="AG222" s="30">
        <f t="shared" si="384"/>
        <v>21</v>
      </c>
      <c r="AH222" s="36">
        <f>AG222*H222</f>
        <v>261.24</v>
      </c>
      <c r="AI222" s="52"/>
      <c r="AJ222" s="43">
        <f t="shared" si="385"/>
        <v>0</v>
      </c>
      <c r="AK222" s="30"/>
      <c r="AL222" s="43"/>
      <c r="AM222" s="30">
        <f t="shared" si="386"/>
        <v>0</v>
      </c>
      <c r="AN222" s="47">
        <f t="shared" si="360"/>
        <v>0</v>
      </c>
      <c r="AO222" s="30">
        <f t="shared" si="387"/>
        <v>21</v>
      </c>
      <c r="AP222" s="36">
        <f>AO222*H222</f>
        <v>261.24</v>
      </c>
    </row>
    <row r="223" spans="1:42" ht="14.25" customHeight="1" x14ac:dyDescent="0.25">
      <c r="A223" s="91" t="s">
        <v>414</v>
      </c>
      <c r="B223" s="8"/>
      <c r="C223" s="8"/>
      <c r="D223" s="8" t="s">
        <v>415</v>
      </c>
      <c r="E223" s="8"/>
      <c r="F223" s="9"/>
      <c r="G223" s="8"/>
      <c r="H223" s="8"/>
      <c r="I223" s="10">
        <v>60978.92</v>
      </c>
      <c r="J223" s="27">
        <v>4.352528194147038E-2</v>
      </c>
      <c r="K223" s="185"/>
      <c r="L223" s="185"/>
      <c r="M223" s="185"/>
      <c r="N223" s="185"/>
      <c r="O223" s="32"/>
      <c r="P223" s="44"/>
      <c r="Q223" s="22"/>
      <c r="R223" s="22"/>
      <c r="S223" s="32"/>
      <c r="T223" s="37"/>
      <c r="U223" s="32"/>
      <c r="V223" s="44"/>
      <c r="W223" s="32"/>
      <c r="X223" s="48"/>
      <c r="Y223" s="32"/>
      <c r="Z223" s="37"/>
      <c r="AA223" s="53"/>
      <c r="AB223" s="44"/>
      <c r="AC223" s="32"/>
      <c r="AD223" s="44"/>
      <c r="AE223" s="32"/>
      <c r="AF223" s="48"/>
      <c r="AG223" s="32"/>
      <c r="AH223" s="37"/>
      <c r="AI223" s="53"/>
      <c r="AJ223" s="44"/>
      <c r="AK223" s="32"/>
      <c r="AL223" s="44"/>
      <c r="AM223" s="32"/>
      <c r="AN223" s="48"/>
      <c r="AO223" s="32"/>
      <c r="AP223" s="37"/>
    </row>
    <row r="224" spans="1:42" ht="14.25" customHeight="1" x14ac:dyDescent="0.25">
      <c r="A224" s="91" t="s">
        <v>416</v>
      </c>
      <c r="B224" s="8"/>
      <c r="C224" s="8"/>
      <c r="D224" s="8" t="s">
        <v>417</v>
      </c>
      <c r="E224" s="8"/>
      <c r="F224" s="9"/>
      <c r="G224" s="8"/>
      <c r="H224" s="8"/>
      <c r="I224" s="10">
        <v>4457.68</v>
      </c>
      <c r="J224" s="27">
        <v>3.1817844396859387E-3</v>
      </c>
      <c r="K224" s="185"/>
      <c r="L224" s="185"/>
      <c r="M224" s="185"/>
      <c r="N224" s="185"/>
      <c r="O224" s="32"/>
      <c r="P224" s="44"/>
      <c r="Q224" s="22"/>
      <c r="R224" s="22"/>
      <c r="S224" s="32"/>
      <c r="T224" s="37">
        <f>SUM(T225:T238)</f>
        <v>4457.68</v>
      </c>
      <c r="U224" s="32"/>
      <c r="V224" s="44"/>
      <c r="W224" s="32"/>
      <c r="X224" s="48"/>
      <c r="Y224" s="32"/>
      <c r="Z224" s="37">
        <f>SUM(Z225:Z238)</f>
        <v>4457.68</v>
      </c>
      <c r="AA224" s="53"/>
      <c r="AB224" s="44"/>
      <c r="AC224" s="32"/>
      <c r="AD224" s="44"/>
      <c r="AE224" s="32"/>
      <c r="AF224" s="48"/>
      <c r="AG224" s="32"/>
      <c r="AH224" s="37">
        <f>SUM(AH225:AH238)</f>
        <v>4457.68</v>
      </c>
      <c r="AI224" s="53"/>
      <c r="AJ224" s="44"/>
      <c r="AK224" s="32"/>
      <c r="AL224" s="44"/>
      <c r="AM224" s="32"/>
      <c r="AN224" s="48"/>
      <c r="AO224" s="32"/>
      <c r="AP224" s="37">
        <f>SUM(AP225:AP238)</f>
        <v>4457.68</v>
      </c>
    </row>
    <row r="225" spans="1:42" ht="14.25" customHeight="1" x14ac:dyDescent="0.25">
      <c r="A225" s="92" t="s">
        <v>804</v>
      </c>
      <c r="B225" s="12" t="s">
        <v>418</v>
      </c>
      <c r="C225" s="11" t="s">
        <v>26</v>
      </c>
      <c r="D225" s="11" t="s">
        <v>419</v>
      </c>
      <c r="E225" s="13" t="s">
        <v>31</v>
      </c>
      <c r="F225" s="12">
        <v>2</v>
      </c>
      <c r="G225" s="14">
        <v>265.12</v>
      </c>
      <c r="H225" s="14">
        <v>324.69</v>
      </c>
      <c r="I225" s="14">
        <v>649.38</v>
      </c>
      <c r="J225" s="28">
        <v>4.635117773019272E-4</v>
      </c>
      <c r="K225" s="186"/>
      <c r="L225" s="186"/>
      <c r="M225" s="186"/>
      <c r="N225" s="186"/>
      <c r="O225" s="30"/>
      <c r="P225" s="43">
        <f t="shared" ref="P225:P238" si="388">O225*H225</f>
        <v>0</v>
      </c>
      <c r="Q225" s="30">
        <f t="shared" ref="Q225:Q238" si="389">O225</f>
        <v>0</v>
      </c>
      <c r="R225" s="25">
        <f t="shared" ref="R225:R238" si="390">Q225/F225</f>
        <v>0</v>
      </c>
      <c r="S225" s="30">
        <f t="shared" ref="S225:S283" si="391">F225-Q225</f>
        <v>2</v>
      </c>
      <c r="T225" s="36">
        <f t="shared" ref="T225:T238" si="392">S225*H225</f>
        <v>649.38</v>
      </c>
      <c r="U225" s="30"/>
      <c r="V225" s="43">
        <f t="shared" ref="V225:V238" si="393">U225*H225</f>
        <v>0</v>
      </c>
      <c r="W225" s="30">
        <f t="shared" ref="W225:W238" si="394">Q225+U225</f>
        <v>0</v>
      </c>
      <c r="X225" s="47">
        <f t="shared" ref="X225:X283" si="395">W225/$F$8</f>
        <v>0</v>
      </c>
      <c r="Y225" s="30">
        <f t="shared" ref="Y225:Y238" si="396">F225-W225</f>
        <v>2</v>
      </c>
      <c r="Z225" s="36">
        <f t="shared" ref="Z225:Z238" si="397">Y225*H225</f>
        <v>649.38</v>
      </c>
      <c r="AA225" s="52"/>
      <c r="AB225" s="43">
        <f t="shared" ref="AB225:AB238" si="398">AA225*H225</f>
        <v>0</v>
      </c>
      <c r="AC225" s="30"/>
      <c r="AD225" s="43"/>
      <c r="AE225" s="30">
        <f t="shared" ref="AE225:AE238" si="399">W225+AC225</f>
        <v>0</v>
      </c>
      <c r="AF225" s="47">
        <f t="shared" ref="AF225:AF283" si="400">AE225/$F$8</f>
        <v>0</v>
      </c>
      <c r="AG225" s="30">
        <f t="shared" ref="AG225:AG238" si="401">F225-AE225</f>
        <v>2</v>
      </c>
      <c r="AH225" s="36">
        <f t="shared" ref="AH225:AH238" si="402">AG225*H225</f>
        <v>649.38</v>
      </c>
      <c r="AI225" s="52"/>
      <c r="AJ225" s="43">
        <f t="shared" ref="AJ225:AJ238" si="403">AI225*T225</f>
        <v>0</v>
      </c>
      <c r="AK225" s="30"/>
      <c r="AL225" s="43"/>
      <c r="AM225" s="30">
        <f t="shared" ref="AM225:AM238" si="404">AE225+AK225</f>
        <v>0</v>
      </c>
      <c r="AN225" s="47">
        <f t="shared" ref="AN225:AN283" si="405">AM225/$F$8</f>
        <v>0</v>
      </c>
      <c r="AO225" s="30">
        <f t="shared" ref="AO225:AO238" si="406">F225-AM225</f>
        <v>2</v>
      </c>
      <c r="AP225" s="36">
        <f t="shared" ref="AP225:AP238" si="407">AO225*H225</f>
        <v>649.38</v>
      </c>
    </row>
    <row r="226" spans="1:42" ht="14.25" customHeight="1" x14ac:dyDescent="0.25">
      <c r="A226" s="92" t="s">
        <v>805</v>
      </c>
      <c r="B226" s="12" t="s">
        <v>420</v>
      </c>
      <c r="C226" s="11" t="s">
        <v>26</v>
      </c>
      <c r="D226" s="11" t="s">
        <v>421</v>
      </c>
      <c r="E226" s="13" t="s">
        <v>31</v>
      </c>
      <c r="F226" s="12">
        <v>1</v>
      </c>
      <c r="G226" s="14">
        <v>365.55</v>
      </c>
      <c r="H226" s="14">
        <v>447.68</v>
      </c>
      <c r="I226" s="14">
        <v>447.68</v>
      </c>
      <c r="J226" s="28">
        <v>3.1954318344039974E-4</v>
      </c>
      <c r="K226" s="186"/>
      <c r="L226" s="186"/>
      <c r="M226" s="186"/>
      <c r="N226" s="186"/>
      <c r="O226" s="30"/>
      <c r="P226" s="43">
        <f t="shared" si="388"/>
        <v>0</v>
      </c>
      <c r="Q226" s="30">
        <f t="shared" si="389"/>
        <v>0</v>
      </c>
      <c r="R226" s="25">
        <f t="shared" si="390"/>
        <v>0</v>
      </c>
      <c r="S226" s="30">
        <f t="shared" si="391"/>
        <v>1</v>
      </c>
      <c r="T226" s="36">
        <f t="shared" si="392"/>
        <v>447.68</v>
      </c>
      <c r="U226" s="30"/>
      <c r="V226" s="43">
        <f t="shared" si="393"/>
        <v>0</v>
      </c>
      <c r="W226" s="30">
        <f t="shared" si="394"/>
        <v>0</v>
      </c>
      <c r="X226" s="47">
        <f t="shared" si="395"/>
        <v>0</v>
      </c>
      <c r="Y226" s="30">
        <f t="shared" si="396"/>
        <v>1</v>
      </c>
      <c r="Z226" s="36">
        <f t="shared" si="397"/>
        <v>447.68</v>
      </c>
      <c r="AA226" s="52"/>
      <c r="AB226" s="43">
        <f t="shared" si="398"/>
        <v>0</v>
      </c>
      <c r="AC226" s="30"/>
      <c r="AD226" s="43"/>
      <c r="AE226" s="30">
        <f t="shared" si="399"/>
        <v>0</v>
      </c>
      <c r="AF226" s="47">
        <f t="shared" si="400"/>
        <v>0</v>
      </c>
      <c r="AG226" s="30">
        <f t="shared" si="401"/>
        <v>1</v>
      </c>
      <c r="AH226" s="36">
        <f t="shared" si="402"/>
        <v>447.68</v>
      </c>
      <c r="AI226" s="52"/>
      <c r="AJ226" s="43">
        <f t="shared" si="403"/>
        <v>0</v>
      </c>
      <c r="AK226" s="30"/>
      <c r="AL226" s="43"/>
      <c r="AM226" s="30">
        <f t="shared" si="404"/>
        <v>0</v>
      </c>
      <c r="AN226" s="47">
        <f t="shared" si="405"/>
        <v>0</v>
      </c>
      <c r="AO226" s="30">
        <f t="shared" si="406"/>
        <v>1</v>
      </c>
      <c r="AP226" s="36">
        <f t="shared" si="407"/>
        <v>447.68</v>
      </c>
    </row>
    <row r="227" spans="1:42" ht="14.25" customHeight="1" x14ac:dyDescent="0.25">
      <c r="A227" s="92" t="s">
        <v>806</v>
      </c>
      <c r="B227" s="12" t="s">
        <v>422</v>
      </c>
      <c r="C227" s="11" t="s">
        <v>26</v>
      </c>
      <c r="D227" s="11" t="s">
        <v>423</v>
      </c>
      <c r="E227" s="13" t="s">
        <v>31</v>
      </c>
      <c r="F227" s="12">
        <v>1</v>
      </c>
      <c r="G227" s="14">
        <v>72.739999999999995</v>
      </c>
      <c r="H227" s="14">
        <v>89.08</v>
      </c>
      <c r="I227" s="14">
        <v>89.08</v>
      </c>
      <c r="J227" s="28">
        <v>6.3583154889364739E-5</v>
      </c>
      <c r="K227" s="186"/>
      <c r="L227" s="186"/>
      <c r="M227" s="186"/>
      <c r="N227" s="186"/>
      <c r="O227" s="30"/>
      <c r="P227" s="43">
        <f t="shared" si="388"/>
        <v>0</v>
      </c>
      <c r="Q227" s="30">
        <f t="shared" si="389"/>
        <v>0</v>
      </c>
      <c r="R227" s="25">
        <f t="shared" si="390"/>
        <v>0</v>
      </c>
      <c r="S227" s="30">
        <f t="shared" si="391"/>
        <v>1</v>
      </c>
      <c r="T227" s="36">
        <f t="shared" si="392"/>
        <v>89.08</v>
      </c>
      <c r="U227" s="30"/>
      <c r="V227" s="43">
        <f t="shared" si="393"/>
        <v>0</v>
      </c>
      <c r="W227" s="30">
        <f t="shared" si="394"/>
        <v>0</v>
      </c>
      <c r="X227" s="47">
        <f t="shared" si="395"/>
        <v>0</v>
      </c>
      <c r="Y227" s="30">
        <f t="shared" si="396"/>
        <v>1</v>
      </c>
      <c r="Z227" s="36">
        <f t="shared" si="397"/>
        <v>89.08</v>
      </c>
      <c r="AA227" s="52"/>
      <c r="AB227" s="43">
        <f t="shared" si="398"/>
        <v>0</v>
      </c>
      <c r="AC227" s="30"/>
      <c r="AD227" s="43"/>
      <c r="AE227" s="30">
        <f t="shared" si="399"/>
        <v>0</v>
      </c>
      <c r="AF227" s="47">
        <f t="shared" si="400"/>
        <v>0</v>
      </c>
      <c r="AG227" s="30">
        <f t="shared" si="401"/>
        <v>1</v>
      </c>
      <c r="AH227" s="36">
        <f t="shared" si="402"/>
        <v>89.08</v>
      </c>
      <c r="AI227" s="52"/>
      <c r="AJ227" s="43">
        <f t="shared" si="403"/>
        <v>0</v>
      </c>
      <c r="AK227" s="30"/>
      <c r="AL227" s="43"/>
      <c r="AM227" s="30">
        <f t="shared" si="404"/>
        <v>0</v>
      </c>
      <c r="AN227" s="47">
        <f t="shared" si="405"/>
        <v>0</v>
      </c>
      <c r="AO227" s="30">
        <f t="shared" si="406"/>
        <v>1</v>
      </c>
      <c r="AP227" s="36">
        <f t="shared" si="407"/>
        <v>89.08</v>
      </c>
    </row>
    <row r="228" spans="1:42" ht="14.25" customHeight="1" x14ac:dyDescent="0.25">
      <c r="A228" s="92" t="s">
        <v>807</v>
      </c>
      <c r="B228" s="12" t="s">
        <v>424</v>
      </c>
      <c r="C228" s="11" t="s">
        <v>29</v>
      </c>
      <c r="D228" s="11" t="s">
        <v>425</v>
      </c>
      <c r="E228" s="13" t="s">
        <v>31</v>
      </c>
      <c r="F228" s="12">
        <v>1</v>
      </c>
      <c r="G228" s="14">
        <v>72.709999999999994</v>
      </c>
      <c r="H228" s="14">
        <v>89.04</v>
      </c>
      <c r="I228" s="14">
        <v>89.04</v>
      </c>
      <c r="J228" s="28">
        <v>6.3554603854389718E-5</v>
      </c>
      <c r="K228" s="186"/>
      <c r="L228" s="186"/>
      <c r="M228" s="186"/>
      <c r="N228" s="186"/>
      <c r="O228" s="30"/>
      <c r="P228" s="43">
        <f t="shared" si="388"/>
        <v>0</v>
      </c>
      <c r="Q228" s="30">
        <f t="shared" si="389"/>
        <v>0</v>
      </c>
      <c r="R228" s="25">
        <f t="shared" si="390"/>
        <v>0</v>
      </c>
      <c r="S228" s="30">
        <f t="shared" si="391"/>
        <v>1</v>
      </c>
      <c r="T228" s="36">
        <f t="shared" si="392"/>
        <v>89.04</v>
      </c>
      <c r="U228" s="30"/>
      <c r="V228" s="43">
        <f t="shared" si="393"/>
        <v>0</v>
      </c>
      <c r="W228" s="30">
        <f t="shared" si="394"/>
        <v>0</v>
      </c>
      <c r="X228" s="47">
        <f t="shared" si="395"/>
        <v>0</v>
      </c>
      <c r="Y228" s="30">
        <f t="shared" si="396"/>
        <v>1</v>
      </c>
      <c r="Z228" s="36">
        <f t="shared" si="397"/>
        <v>89.04</v>
      </c>
      <c r="AA228" s="52"/>
      <c r="AB228" s="43">
        <f t="shared" si="398"/>
        <v>0</v>
      </c>
      <c r="AC228" s="30"/>
      <c r="AD228" s="43"/>
      <c r="AE228" s="30">
        <f t="shared" si="399"/>
        <v>0</v>
      </c>
      <c r="AF228" s="47">
        <f t="shared" si="400"/>
        <v>0</v>
      </c>
      <c r="AG228" s="30">
        <f t="shared" si="401"/>
        <v>1</v>
      </c>
      <c r="AH228" s="36">
        <f t="shared" si="402"/>
        <v>89.04</v>
      </c>
      <c r="AI228" s="52"/>
      <c r="AJ228" s="43">
        <f t="shared" si="403"/>
        <v>0</v>
      </c>
      <c r="AK228" s="30"/>
      <c r="AL228" s="43"/>
      <c r="AM228" s="30">
        <f t="shared" si="404"/>
        <v>0</v>
      </c>
      <c r="AN228" s="47">
        <f t="shared" si="405"/>
        <v>0</v>
      </c>
      <c r="AO228" s="30">
        <f t="shared" si="406"/>
        <v>1</v>
      </c>
      <c r="AP228" s="36">
        <f t="shared" si="407"/>
        <v>89.04</v>
      </c>
    </row>
    <row r="229" spans="1:42" ht="14.25" customHeight="1" x14ac:dyDescent="0.25">
      <c r="A229" s="92" t="s">
        <v>808</v>
      </c>
      <c r="B229" s="12" t="s">
        <v>426</v>
      </c>
      <c r="C229" s="11" t="s">
        <v>22</v>
      </c>
      <c r="D229" s="11" t="s">
        <v>427</v>
      </c>
      <c r="E229" s="13" t="s">
        <v>365</v>
      </c>
      <c r="F229" s="12">
        <v>6</v>
      </c>
      <c r="G229" s="14">
        <v>13.6</v>
      </c>
      <c r="H229" s="14">
        <v>16.649999999999999</v>
      </c>
      <c r="I229" s="14">
        <v>99.9</v>
      </c>
      <c r="J229" s="28">
        <v>7.130620985010707E-5</v>
      </c>
      <c r="K229" s="186"/>
      <c r="L229" s="186"/>
      <c r="M229" s="186"/>
      <c r="N229" s="186"/>
      <c r="O229" s="30"/>
      <c r="P229" s="43">
        <f t="shared" si="388"/>
        <v>0</v>
      </c>
      <c r="Q229" s="30">
        <f t="shared" si="389"/>
        <v>0</v>
      </c>
      <c r="R229" s="25">
        <f t="shared" si="390"/>
        <v>0</v>
      </c>
      <c r="S229" s="30">
        <f t="shared" si="391"/>
        <v>6</v>
      </c>
      <c r="T229" s="36">
        <f t="shared" si="392"/>
        <v>99.899999999999991</v>
      </c>
      <c r="U229" s="30"/>
      <c r="V229" s="43">
        <f t="shared" si="393"/>
        <v>0</v>
      </c>
      <c r="W229" s="30">
        <f t="shared" si="394"/>
        <v>0</v>
      </c>
      <c r="X229" s="47">
        <f t="shared" si="395"/>
        <v>0</v>
      </c>
      <c r="Y229" s="30">
        <f t="shared" si="396"/>
        <v>6</v>
      </c>
      <c r="Z229" s="36">
        <f t="shared" si="397"/>
        <v>99.899999999999991</v>
      </c>
      <c r="AA229" s="52"/>
      <c r="AB229" s="43">
        <f t="shared" si="398"/>
        <v>0</v>
      </c>
      <c r="AC229" s="30"/>
      <c r="AD229" s="43"/>
      <c r="AE229" s="30">
        <f t="shared" si="399"/>
        <v>0</v>
      </c>
      <c r="AF229" s="47">
        <f t="shared" si="400"/>
        <v>0</v>
      </c>
      <c r="AG229" s="30">
        <f t="shared" si="401"/>
        <v>6</v>
      </c>
      <c r="AH229" s="36">
        <f t="shared" si="402"/>
        <v>99.899999999999991</v>
      </c>
      <c r="AI229" s="52"/>
      <c r="AJ229" s="43">
        <f t="shared" si="403"/>
        <v>0</v>
      </c>
      <c r="AK229" s="30"/>
      <c r="AL229" s="43"/>
      <c r="AM229" s="30">
        <f t="shared" si="404"/>
        <v>0</v>
      </c>
      <c r="AN229" s="47">
        <f t="shared" si="405"/>
        <v>0</v>
      </c>
      <c r="AO229" s="30">
        <f t="shared" si="406"/>
        <v>6</v>
      </c>
      <c r="AP229" s="36">
        <f t="shared" si="407"/>
        <v>99.899999999999991</v>
      </c>
    </row>
    <row r="230" spans="1:42" ht="14.25" customHeight="1" x14ac:dyDescent="0.25">
      <c r="A230" s="92" t="s">
        <v>809</v>
      </c>
      <c r="B230" s="12" t="s">
        <v>428</v>
      </c>
      <c r="C230" s="11" t="s">
        <v>22</v>
      </c>
      <c r="D230" s="11" t="s">
        <v>429</v>
      </c>
      <c r="E230" s="13" t="s">
        <v>365</v>
      </c>
      <c r="F230" s="12">
        <v>1</v>
      </c>
      <c r="G230" s="14">
        <v>14.64</v>
      </c>
      <c r="H230" s="14">
        <v>17.920000000000002</v>
      </c>
      <c r="I230" s="14">
        <v>17.920000000000002</v>
      </c>
      <c r="J230" s="28">
        <v>1.2790863668807995E-5</v>
      </c>
      <c r="K230" s="186"/>
      <c r="L230" s="186"/>
      <c r="M230" s="186"/>
      <c r="N230" s="186"/>
      <c r="O230" s="30"/>
      <c r="P230" s="43">
        <f t="shared" si="388"/>
        <v>0</v>
      </c>
      <c r="Q230" s="30">
        <f t="shared" si="389"/>
        <v>0</v>
      </c>
      <c r="R230" s="25">
        <f t="shared" si="390"/>
        <v>0</v>
      </c>
      <c r="S230" s="30">
        <f t="shared" si="391"/>
        <v>1</v>
      </c>
      <c r="T230" s="36">
        <f t="shared" si="392"/>
        <v>17.920000000000002</v>
      </c>
      <c r="U230" s="30"/>
      <c r="V230" s="43">
        <f t="shared" si="393"/>
        <v>0</v>
      </c>
      <c r="W230" s="30">
        <f t="shared" si="394"/>
        <v>0</v>
      </c>
      <c r="X230" s="47">
        <f t="shared" si="395"/>
        <v>0</v>
      </c>
      <c r="Y230" s="30">
        <f t="shared" si="396"/>
        <v>1</v>
      </c>
      <c r="Z230" s="36">
        <f t="shared" si="397"/>
        <v>17.920000000000002</v>
      </c>
      <c r="AA230" s="52"/>
      <c r="AB230" s="43">
        <f t="shared" si="398"/>
        <v>0</v>
      </c>
      <c r="AC230" s="30"/>
      <c r="AD230" s="43"/>
      <c r="AE230" s="30">
        <f t="shared" si="399"/>
        <v>0</v>
      </c>
      <c r="AF230" s="47">
        <f t="shared" si="400"/>
        <v>0</v>
      </c>
      <c r="AG230" s="30">
        <f t="shared" si="401"/>
        <v>1</v>
      </c>
      <c r="AH230" s="36">
        <f t="shared" si="402"/>
        <v>17.920000000000002</v>
      </c>
      <c r="AI230" s="52"/>
      <c r="AJ230" s="43">
        <f t="shared" si="403"/>
        <v>0</v>
      </c>
      <c r="AK230" s="30"/>
      <c r="AL230" s="43"/>
      <c r="AM230" s="30">
        <f t="shared" si="404"/>
        <v>0</v>
      </c>
      <c r="AN230" s="47">
        <f t="shared" si="405"/>
        <v>0</v>
      </c>
      <c r="AO230" s="30">
        <f t="shared" si="406"/>
        <v>1</v>
      </c>
      <c r="AP230" s="36">
        <f t="shared" si="407"/>
        <v>17.920000000000002</v>
      </c>
    </row>
    <row r="231" spans="1:42" ht="15" customHeight="1" x14ac:dyDescent="0.25">
      <c r="A231" s="92" t="s">
        <v>810</v>
      </c>
      <c r="B231" s="12" t="s">
        <v>430</v>
      </c>
      <c r="C231" s="11" t="s">
        <v>22</v>
      </c>
      <c r="D231" s="11" t="s">
        <v>431</v>
      </c>
      <c r="E231" s="13" t="s">
        <v>365</v>
      </c>
      <c r="F231" s="12">
        <v>2</v>
      </c>
      <c r="G231" s="14">
        <v>15.88</v>
      </c>
      <c r="H231" s="14">
        <v>19.440000000000001</v>
      </c>
      <c r="I231" s="14">
        <v>38.880000000000003</v>
      </c>
      <c r="J231" s="28">
        <v>2.7751605995717344E-5</v>
      </c>
      <c r="K231" s="186"/>
      <c r="L231" s="186"/>
      <c r="M231" s="186"/>
      <c r="N231" s="186"/>
      <c r="O231" s="30"/>
      <c r="P231" s="43">
        <f t="shared" si="388"/>
        <v>0</v>
      </c>
      <c r="Q231" s="30">
        <f t="shared" si="389"/>
        <v>0</v>
      </c>
      <c r="R231" s="25">
        <f t="shared" si="390"/>
        <v>0</v>
      </c>
      <c r="S231" s="30">
        <f t="shared" si="391"/>
        <v>2</v>
      </c>
      <c r="T231" s="36">
        <f t="shared" si="392"/>
        <v>38.880000000000003</v>
      </c>
      <c r="U231" s="30"/>
      <c r="V231" s="43">
        <f t="shared" si="393"/>
        <v>0</v>
      </c>
      <c r="W231" s="30">
        <f t="shared" si="394"/>
        <v>0</v>
      </c>
      <c r="X231" s="47">
        <f t="shared" si="395"/>
        <v>0</v>
      </c>
      <c r="Y231" s="30">
        <f t="shared" si="396"/>
        <v>2</v>
      </c>
      <c r="Z231" s="36">
        <f t="shared" si="397"/>
        <v>38.880000000000003</v>
      </c>
      <c r="AA231" s="52"/>
      <c r="AB231" s="43">
        <f t="shared" si="398"/>
        <v>0</v>
      </c>
      <c r="AC231" s="30"/>
      <c r="AD231" s="43"/>
      <c r="AE231" s="30">
        <f t="shared" si="399"/>
        <v>0</v>
      </c>
      <c r="AF231" s="47">
        <f t="shared" si="400"/>
        <v>0</v>
      </c>
      <c r="AG231" s="30">
        <f t="shared" si="401"/>
        <v>2</v>
      </c>
      <c r="AH231" s="36">
        <f t="shared" si="402"/>
        <v>38.880000000000003</v>
      </c>
      <c r="AI231" s="52"/>
      <c r="AJ231" s="43">
        <f t="shared" si="403"/>
        <v>0</v>
      </c>
      <c r="AK231" s="30"/>
      <c r="AL231" s="43"/>
      <c r="AM231" s="30">
        <f t="shared" si="404"/>
        <v>0</v>
      </c>
      <c r="AN231" s="47">
        <f t="shared" si="405"/>
        <v>0</v>
      </c>
      <c r="AO231" s="30">
        <f t="shared" si="406"/>
        <v>2</v>
      </c>
      <c r="AP231" s="36">
        <f t="shared" si="407"/>
        <v>38.880000000000003</v>
      </c>
    </row>
    <row r="232" spans="1:42" ht="25.5" customHeight="1" x14ac:dyDescent="0.25">
      <c r="A232" s="92" t="s">
        <v>811</v>
      </c>
      <c r="B232" s="12" t="s">
        <v>432</v>
      </c>
      <c r="C232" s="11" t="s">
        <v>29</v>
      </c>
      <c r="D232" s="11" t="s">
        <v>433</v>
      </c>
      <c r="E232" s="13" t="s">
        <v>31</v>
      </c>
      <c r="F232" s="12">
        <v>4</v>
      </c>
      <c r="G232" s="14">
        <v>84.82</v>
      </c>
      <c r="H232" s="14">
        <v>103.87</v>
      </c>
      <c r="I232" s="14">
        <v>415.48</v>
      </c>
      <c r="J232" s="28">
        <v>2.9655960028551032E-4</v>
      </c>
      <c r="K232" s="186"/>
      <c r="L232" s="186"/>
      <c r="M232" s="186"/>
      <c r="N232" s="186"/>
      <c r="O232" s="30"/>
      <c r="P232" s="43">
        <f t="shared" si="388"/>
        <v>0</v>
      </c>
      <c r="Q232" s="30">
        <f t="shared" si="389"/>
        <v>0</v>
      </c>
      <c r="R232" s="25">
        <f t="shared" si="390"/>
        <v>0</v>
      </c>
      <c r="S232" s="30">
        <f t="shared" si="391"/>
        <v>4</v>
      </c>
      <c r="T232" s="36">
        <f t="shared" si="392"/>
        <v>415.48</v>
      </c>
      <c r="U232" s="30"/>
      <c r="V232" s="43">
        <f t="shared" si="393"/>
        <v>0</v>
      </c>
      <c r="W232" s="30">
        <f t="shared" si="394"/>
        <v>0</v>
      </c>
      <c r="X232" s="47">
        <f t="shared" si="395"/>
        <v>0</v>
      </c>
      <c r="Y232" s="30">
        <f t="shared" si="396"/>
        <v>4</v>
      </c>
      <c r="Z232" s="36">
        <f t="shared" si="397"/>
        <v>415.48</v>
      </c>
      <c r="AA232" s="52"/>
      <c r="AB232" s="43">
        <f t="shared" si="398"/>
        <v>0</v>
      </c>
      <c r="AC232" s="30"/>
      <c r="AD232" s="43"/>
      <c r="AE232" s="30">
        <f t="shared" si="399"/>
        <v>0</v>
      </c>
      <c r="AF232" s="47">
        <f t="shared" si="400"/>
        <v>0</v>
      </c>
      <c r="AG232" s="30">
        <f t="shared" si="401"/>
        <v>4</v>
      </c>
      <c r="AH232" s="36">
        <f t="shared" si="402"/>
        <v>415.48</v>
      </c>
      <c r="AI232" s="52"/>
      <c r="AJ232" s="43">
        <f t="shared" si="403"/>
        <v>0</v>
      </c>
      <c r="AK232" s="30"/>
      <c r="AL232" s="43"/>
      <c r="AM232" s="30">
        <f t="shared" si="404"/>
        <v>0</v>
      </c>
      <c r="AN232" s="47">
        <f t="shared" si="405"/>
        <v>0</v>
      </c>
      <c r="AO232" s="30">
        <f t="shared" si="406"/>
        <v>4</v>
      </c>
      <c r="AP232" s="36">
        <f t="shared" si="407"/>
        <v>415.48</v>
      </c>
    </row>
    <row r="233" spans="1:42" ht="14.25" customHeight="1" x14ac:dyDescent="0.25">
      <c r="A233" s="92" t="s">
        <v>812</v>
      </c>
      <c r="B233" s="12" t="s">
        <v>434</v>
      </c>
      <c r="C233" s="11" t="s">
        <v>22</v>
      </c>
      <c r="D233" s="11" t="s">
        <v>435</v>
      </c>
      <c r="E233" s="13" t="s">
        <v>365</v>
      </c>
      <c r="F233" s="12">
        <v>23</v>
      </c>
      <c r="G233" s="14">
        <v>37.19</v>
      </c>
      <c r="H233" s="14">
        <v>45.54</v>
      </c>
      <c r="I233" s="14">
        <v>1047.42</v>
      </c>
      <c r="J233" s="28">
        <v>7.4762312633832977E-4</v>
      </c>
      <c r="K233" s="186"/>
      <c r="L233" s="186"/>
      <c r="M233" s="186"/>
      <c r="N233" s="186"/>
      <c r="O233" s="30"/>
      <c r="P233" s="43">
        <f t="shared" si="388"/>
        <v>0</v>
      </c>
      <c r="Q233" s="30">
        <f t="shared" si="389"/>
        <v>0</v>
      </c>
      <c r="R233" s="25">
        <f t="shared" si="390"/>
        <v>0</v>
      </c>
      <c r="S233" s="30">
        <f t="shared" si="391"/>
        <v>23</v>
      </c>
      <c r="T233" s="36">
        <f t="shared" si="392"/>
        <v>1047.42</v>
      </c>
      <c r="U233" s="30"/>
      <c r="V233" s="43">
        <f t="shared" si="393"/>
        <v>0</v>
      </c>
      <c r="W233" s="30">
        <f t="shared" si="394"/>
        <v>0</v>
      </c>
      <c r="X233" s="47">
        <f t="shared" si="395"/>
        <v>0</v>
      </c>
      <c r="Y233" s="30">
        <f t="shared" si="396"/>
        <v>23</v>
      </c>
      <c r="Z233" s="36">
        <f t="shared" si="397"/>
        <v>1047.42</v>
      </c>
      <c r="AA233" s="52"/>
      <c r="AB233" s="43">
        <f t="shared" si="398"/>
        <v>0</v>
      </c>
      <c r="AC233" s="30"/>
      <c r="AD233" s="43"/>
      <c r="AE233" s="30">
        <f t="shared" si="399"/>
        <v>0</v>
      </c>
      <c r="AF233" s="47">
        <f t="shared" si="400"/>
        <v>0</v>
      </c>
      <c r="AG233" s="30">
        <f t="shared" si="401"/>
        <v>23</v>
      </c>
      <c r="AH233" s="36">
        <f t="shared" si="402"/>
        <v>1047.42</v>
      </c>
      <c r="AI233" s="52"/>
      <c r="AJ233" s="43">
        <f t="shared" si="403"/>
        <v>0</v>
      </c>
      <c r="AK233" s="30"/>
      <c r="AL233" s="43"/>
      <c r="AM233" s="30">
        <f t="shared" si="404"/>
        <v>0</v>
      </c>
      <c r="AN233" s="47">
        <f t="shared" si="405"/>
        <v>0</v>
      </c>
      <c r="AO233" s="30">
        <f t="shared" si="406"/>
        <v>23</v>
      </c>
      <c r="AP233" s="36">
        <f t="shared" si="407"/>
        <v>1047.42</v>
      </c>
    </row>
    <row r="234" spans="1:42" ht="14.25" customHeight="1" x14ac:dyDescent="0.25">
      <c r="A234" s="92" t="s">
        <v>813</v>
      </c>
      <c r="B234" s="12" t="s">
        <v>436</v>
      </c>
      <c r="C234" s="11" t="s">
        <v>22</v>
      </c>
      <c r="D234" s="11" t="s">
        <v>437</v>
      </c>
      <c r="E234" s="13" t="s">
        <v>365</v>
      </c>
      <c r="F234" s="12">
        <v>5</v>
      </c>
      <c r="G234" s="14">
        <v>54.28</v>
      </c>
      <c r="H234" s="14">
        <v>66.47</v>
      </c>
      <c r="I234" s="14">
        <v>332.35</v>
      </c>
      <c r="J234" s="28">
        <v>2.3722341184867951E-4</v>
      </c>
      <c r="K234" s="186"/>
      <c r="L234" s="186"/>
      <c r="M234" s="186"/>
      <c r="N234" s="186"/>
      <c r="O234" s="30"/>
      <c r="P234" s="43">
        <f t="shared" si="388"/>
        <v>0</v>
      </c>
      <c r="Q234" s="30">
        <f t="shared" si="389"/>
        <v>0</v>
      </c>
      <c r="R234" s="25">
        <f t="shared" si="390"/>
        <v>0</v>
      </c>
      <c r="S234" s="30">
        <f t="shared" si="391"/>
        <v>5</v>
      </c>
      <c r="T234" s="36">
        <f t="shared" si="392"/>
        <v>332.35</v>
      </c>
      <c r="U234" s="30"/>
      <c r="V234" s="43">
        <f t="shared" si="393"/>
        <v>0</v>
      </c>
      <c r="W234" s="30">
        <f t="shared" si="394"/>
        <v>0</v>
      </c>
      <c r="X234" s="47">
        <f t="shared" si="395"/>
        <v>0</v>
      </c>
      <c r="Y234" s="30">
        <f t="shared" si="396"/>
        <v>5</v>
      </c>
      <c r="Z234" s="36">
        <f t="shared" si="397"/>
        <v>332.35</v>
      </c>
      <c r="AA234" s="52"/>
      <c r="AB234" s="43">
        <f t="shared" si="398"/>
        <v>0</v>
      </c>
      <c r="AC234" s="30"/>
      <c r="AD234" s="43"/>
      <c r="AE234" s="30">
        <f t="shared" si="399"/>
        <v>0</v>
      </c>
      <c r="AF234" s="47">
        <f t="shared" si="400"/>
        <v>0</v>
      </c>
      <c r="AG234" s="30">
        <f t="shared" si="401"/>
        <v>5</v>
      </c>
      <c r="AH234" s="36">
        <f t="shared" si="402"/>
        <v>332.35</v>
      </c>
      <c r="AI234" s="52"/>
      <c r="AJ234" s="43">
        <f t="shared" si="403"/>
        <v>0</v>
      </c>
      <c r="AK234" s="30"/>
      <c r="AL234" s="43"/>
      <c r="AM234" s="30">
        <f t="shared" si="404"/>
        <v>0</v>
      </c>
      <c r="AN234" s="47">
        <f t="shared" si="405"/>
        <v>0</v>
      </c>
      <c r="AO234" s="30">
        <f t="shared" si="406"/>
        <v>5</v>
      </c>
      <c r="AP234" s="36">
        <f t="shared" si="407"/>
        <v>332.35</v>
      </c>
    </row>
    <row r="235" spans="1:42" ht="14.25" customHeight="1" x14ac:dyDescent="0.25">
      <c r="A235" s="92" t="s">
        <v>814</v>
      </c>
      <c r="B235" s="12" t="s">
        <v>434</v>
      </c>
      <c r="C235" s="11" t="s">
        <v>22</v>
      </c>
      <c r="D235" s="11" t="s">
        <v>435</v>
      </c>
      <c r="E235" s="13" t="s">
        <v>365</v>
      </c>
      <c r="F235" s="12">
        <v>11</v>
      </c>
      <c r="G235" s="14">
        <v>37.19</v>
      </c>
      <c r="H235" s="14">
        <v>45.54</v>
      </c>
      <c r="I235" s="14">
        <v>500.94</v>
      </c>
      <c r="J235" s="28">
        <v>3.57558886509636E-4</v>
      </c>
      <c r="K235" s="186"/>
      <c r="L235" s="186"/>
      <c r="M235" s="186"/>
      <c r="N235" s="186"/>
      <c r="O235" s="30"/>
      <c r="P235" s="43">
        <f t="shared" si="388"/>
        <v>0</v>
      </c>
      <c r="Q235" s="30">
        <f t="shared" si="389"/>
        <v>0</v>
      </c>
      <c r="R235" s="25">
        <f t="shared" si="390"/>
        <v>0</v>
      </c>
      <c r="S235" s="30">
        <f t="shared" si="391"/>
        <v>11</v>
      </c>
      <c r="T235" s="36">
        <f t="shared" si="392"/>
        <v>500.94</v>
      </c>
      <c r="U235" s="30"/>
      <c r="V235" s="43">
        <f t="shared" si="393"/>
        <v>0</v>
      </c>
      <c r="W235" s="30">
        <f t="shared" si="394"/>
        <v>0</v>
      </c>
      <c r="X235" s="47">
        <f t="shared" si="395"/>
        <v>0</v>
      </c>
      <c r="Y235" s="30">
        <f t="shared" si="396"/>
        <v>11</v>
      </c>
      <c r="Z235" s="36">
        <f t="shared" si="397"/>
        <v>500.94</v>
      </c>
      <c r="AA235" s="52"/>
      <c r="AB235" s="43">
        <f t="shared" si="398"/>
        <v>0</v>
      </c>
      <c r="AC235" s="30"/>
      <c r="AD235" s="43"/>
      <c r="AE235" s="30">
        <f t="shared" si="399"/>
        <v>0</v>
      </c>
      <c r="AF235" s="47">
        <f t="shared" si="400"/>
        <v>0</v>
      </c>
      <c r="AG235" s="30">
        <f t="shared" si="401"/>
        <v>11</v>
      </c>
      <c r="AH235" s="36">
        <f t="shared" si="402"/>
        <v>500.94</v>
      </c>
      <c r="AI235" s="52"/>
      <c r="AJ235" s="43">
        <f t="shared" si="403"/>
        <v>0</v>
      </c>
      <c r="AK235" s="30"/>
      <c r="AL235" s="43"/>
      <c r="AM235" s="30">
        <f t="shared" si="404"/>
        <v>0</v>
      </c>
      <c r="AN235" s="47">
        <f t="shared" si="405"/>
        <v>0</v>
      </c>
      <c r="AO235" s="30">
        <f t="shared" si="406"/>
        <v>11</v>
      </c>
      <c r="AP235" s="36">
        <f t="shared" si="407"/>
        <v>500.94</v>
      </c>
    </row>
    <row r="236" spans="1:42" ht="14.25" customHeight="1" x14ac:dyDescent="0.25">
      <c r="A236" s="92" t="s">
        <v>815</v>
      </c>
      <c r="B236" s="12" t="s">
        <v>436</v>
      </c>
      <c r="C236" s="11" t="s">
        <v>22</v>
      </c>
      <c r="D236" s="11" t="s">
        <v>437</v>
      </c>
      <c r="E236" s="13" t="s">
        <v>365</v>
      </c>
      <c r="F236" s="12">
        <v>2</v>
      </c>
      <c r="G236" s="14">
        <v>54.28</v>
      </c>
      <c r="H236" s="14">
        <v>66.47</v>
      </c>
      <c r="I236" s="14">
        <v>132.94</v>
      </c>
      <c r="J236" s="28">
        <v>9.4889364739471813E-5</v>
      </c>
      <c r="K236" s="186"/>
      <c r="L236" s="186"/>
      <c r="M236" s="186"/>
      <c r="N236" s="186"/>
      <c r="O236" s="30"/>
      <c r="P236" s="43">
        <f t="shared" si="388"/>
        <v>0</v>
      </c>
      <c r="Q236" s="30">
        <f t="shared" si="389"/>
        <v>0</v>
      </c>
      <c r="R236" s="25">
        <f t="shared" si="390"/>
        <v>0</v>
      </c>
      <c r="S236" s="30">
        <f t="shared" si="391"/>
        <v>2</v>
      </c>
      <c r="T236" s="36">
        <f t="shared" si="392"/>
        <v>132.94</v>
      </c>
      <c r="U236" s="30"/>
      <c r="V236" s="43">
        <f t="shared" si="393"/>
        <v>0</v>
      </c>
      <c r="W236" s="30">
        <f t="shared" si="394"/>
        <v>0</v>
      </c>
      <c r="X236" s="47">
        <f t="shared" si="395"/>
        <v>0</v>
      </c>
      <c r="Y236" s="30">
        <f t="shared" si="396"/>
        <v>2</v>
      </c>
      <c r="Z236" s="36">
        <f t="shared" si="397"/>
        <v>132.94</v>
      </c>
      <c r="AA236" s="52"/>
      <c r="AB236" s="43">
        <f t="shared" si="398"/>
        <v>0</v>
      </c>
      <c r="AC236" s="30"/>
      <c r="AD236" s="43"/>
      <c r="AE236" s="30">
        <f t="shared" si="399"/>
        <v>0</v>
      </c>
      <c r="AF236" s="47">
        <f t="shared" si="400"/>
        <v>0</v>
      </c>
      <c r="AG236" s="30">
        <f t="shared" si="401"/>
        <v>2</v>
      </c>
      <c r="AH236" s="36">
        <f t="shared" si="402"/>
        <v>132.94</v>
      </c>
      <c r="AI236" s="52"/>
      <c r="AJ236" s="43">
        <f t="shared" si="403"/>
        <v>0</v>
      </c>
      <c r="AK236" s="30"/>
      <c r="AL236" s="43"/>
      <c r="AM236" s="30">
        <f t="shared" si="404"/>
        <v>0</v>
      </c>
      <c r="AN236" s="47">
        <f t="shared" si="405"/>
        <v>0</v>
      </c>
      <c r="AO236" s="30">
        <f t="shared" si="406"/>
        <v>2</v>
      </c>
      <c r="AP236" s="36">
        <f t="shared" si="407"/>
        <v>132.94</v>
      </c>
    </row>
    <row r="237" spans="1:42" ht="25.5" customHeight="1" x14ac:dyDescent="0.25">
      <c r="A237" s="92" t="s">
        <v>816</v>
      </c>
      <c r="B237" s="12" t="s">
        <v>438</v>
      </c>
      <c r="C237" s="11" t="s">
        <v>22</v>
      </c>
      <c r="D237" s="11" t="s">
        <v>439</v>
      </c>
      <c r="E237" s="13" t="s">
        <v>365</v>
      </c>
      <c r="F237" s="12">
        <v>1</v>
      </c>
      <c r="G237" s="14">
        <v>57.13</v>
      </c>
      <c r="H237" s="14">
        <v>69.959999999999994</v>
      </c>
      <c r="I237" s="14">
        <v>69.959999999999994</v>
      </c>
      <c r="J237" s="28">
        <v>4.9935760171306208E-5</v>
      </c>
      <c r="K237" s="186"/>
      <c r="L237" s="186"/>
      <c r="M237" s="186"/>
      <c r="N237" s="186"/>
      <c r="O237" s="30"/>
      <c r="P237" s="43">
        <f t="shared" si="388"/>
        <v>0</v>
      </c>
      <c r="Q237" s="30">
        <f t="shared" si="389"/>
        <v>0</v>
      </c>
      <c r="R237" s="25">
        <f t="shared" si="390"/>
        <v>0</v>
      </c>
      <c r="S237" s="30">
        <f t="shared" si="391"/>
        <v>1</v>
      </c>
      <c r="T237" s="36">
        <f t="shared" si="392"/>
        <v>69.959999999999994</v>
      </c>
      <c r="U237" s="30"/>
      <c r="V237" s="43">
        <f t="shared" si="393"/>
        <v>0</v>
      </c>
      <c r="W237" s="30">
        <f t="shared" si="394"/>
        <v>0</v>
      </c>
      <c r="X237" s="47">
        <f t="shared" si="395"/>
        <v>0</v>
      </c>
      <c r="Y237" s="30">
        <f t="shared" si="396"/>
        <v>1</v>
      </c>
      <c r="Z237" s="36">
        <f t="shared" si="397"/>
        <v>69.959999999999994</v>
      </c>
      <c r="AA237" s="52"/>
      <c r="AB237" s="43">
        <f t="shared" si="398"/>
        <v>0</v>
      </c>
      <c r="AC237" s="30"/>
      <c r="AD237" s="43"/>
      <c r="AE237" s="30">
        <f t="shared" si="399"/>
        <v>0</v>
      </c>
      <c r="AF237" s="47">
        <f t="shared" si="400"/>
        <v>0</v>
      </c>
      <c r="AG237" s="30">
        <f t="shared" si="401"/>
        <v>1</v>
      </c>
      <c r="AH237" s="36">
        <f t="shared" si="402"/>
        <v>69.959999999999994</v>
      </c>
      <c r="AI237" s="52"/>
      <c r="AJ237" s="43">
        <f t="shared" si="403"/>
        <v>0</v>
      </c>
      <c r="AK237" s="30"/>
      <c r="AL237" s="43"/>
      <c r="AM237" s="30">
        <f t="shared" si="404"/>
        <v>0</v>
      </c>
      <c r="AN237" s="47">
        <f t="shared" si="405"/>
        <v>0</v>
      </c>
      <c r="AO237" s="30">
        <f t="shared" si="406"/>
        <v>1</v>
      </c>
      <c r="AP237" s="36">
        <f t="shared" si="407"/>
        <v>69.959999999999994</v>
      </c>
    </row>
    <row r="238" spans="1:42" ht="14.25" customHeight="1" x14ac:dyDescent="0.25">
      <c r="A238" s="92" t="s">
        <v>817</v>
      </c>
      <c r="B238" s="12" t="s">
        <v>440</v>
      </c>
      <c r="C238" s="11" t="s">
        <v>26</v>
      </c>
      <c r="D238" s="11" t="s">
        <v>441</v>
      </c>
      <c r="E238" s="13" t="s">
        <v>31</v>
      </c>
      <c r="F238" s="12">
        <v>1</v>
      </c>
      <c r="G238" s="14">
        <v>430.08</v>
      </c>
      <c r="H238" s="14">
        <v>526.71</v>
      </c>
      <c r="I238" s="14">
        <v>526.71</v>
      </c>
      <c r="J238" s="28">
        <v>3.759528907922912E-4</v>
      </c>
      <c r="K238" s="186"/>
      <c r="L238" s="186"/>
      <c r="M238" s="186"/>
      <c r="N238" s="186"/>
      <c r="O238" s="30"/>
      <c r="P238" s="43">
        <f t="shared" si="388"/>
        <v>0</v>
      </c>
      <c r="Q238" s="30">
        <f t="shared" si="389"/>
        <v>0</v>
      </c>
      <c r="R238" s="25">
        <f t="shared" si="390"/>
        <v>0</v>
      </c>
      <c r="S238" s="30">
        <f t="shared" si="391"/>
        <v>1</v>
      </c>
      <c r="T238" s="36">
        <f t="shared" si="392"/>
        <v>526.71</v>
      </c>
      <c r="U238" s="30"/>
      <c r="V238" s="43">
        <f t="shared" si="393"/>
        <v>0</v>
      </c>
      <c r="W238" s="30">
        <f t="shared" si="394"/>
        <v>0</v>
      </c>
      <c r="X238" s="47">
        <f t="shared" si="395"/>
        <v>0</v>
      </c>
      <c r="Y238" s="30">
        <f t="shared" si="396"/>
        <v>1</v>
      </c>
      <c r="Z238" s="36">
        <f t="shared" si="397"/>
        <v>526.71</v>
      </c>
      <c r="AA238" s="52"/>
      <c r="AB238" s="43">
        <f t="shared" si="398"/>
        <v>0</v>
      </c>
      <c r="AC238" s="30"/>
      <c r="AD238" s="43"/>
      <c r="AE238" s="30">
        <f t="shared" si="399"/>
        <v>0</v>
      </c>
      <c r="AF238" s="47">
        <f t="shared" si="400"/>
        <v>0</v>
      </c>
      <c r="AG238" s="30">
        <f t="shared" si="401"/>
        <v>1</v>
      </c>
      <c r="AH238" s="36">
        <f t="shared" si="402"/>
        <v>526.71</v>
      </c>
      <c r="AI238" s="52"/>
      <c r="AJ238" s="43">
        <f t="shared" si="403"/>
        <v>0</v>
      </c>
      <c r="AK238" s="30"/>
      <c r="AL238" s="43"/>
      <c r="AM238" s="30">
        <f t="shared" si="404"/>
        <v>0</v>
      </c>
      <c r="AN238" s="47">
        <f t="shared" si="405"/>
        <v>0</v>
      </c>
      <c r="AO238" s="30">
        <f t="shared" si="406"/>
        <v>1</v>
      </c>
      <c r="AP238" s="36">
        <f t="shared" si="407"/>
        <v>526.71</v>
      </c>
    </row>
    <row r="239" spans="1:42" ht="14.25" customHeight="1" x14ac:dyDescent="0.25">
      <c r="A239" s="91" t="s">
        <v>442</v>
      </c>
      <c r="B239" s="8"/>
      <c r="C239" s="8"/>
      <c r="D239" s="8" t="s">
        <v>443</v>
      </c>
      <c r="E239" s="8"/>
      <c r="F239" s="9"/>
      <c r="G239" s="8"/>
      <c r="H239" s="8"/>
      <c r="I239" s="10">
        <v>20395.740000000002</v>
      </c>
      <c r="J239" s="27">
        <v>1.4557987152034262E-2</v>
      </c>
      <c r="K239" s="185"/>
      <c r="L239" s="185"/>
      <c r="M239" s="185"/>
      <c r="N239" s="185"/>
      <c r="O239" s="32"/>
      <c r="P239" s="44"/>
      <c r="Q239" s="22"/>
      <c r="R239" s="22"/>
      <c r="S239" s="32"/>
      <c r="T239" s="37">
        <f>SUM(T240:T252)</f>
        <v>20395.748</v>
      </c>
      <c r="U239" s="32"/>
      <c r="V239" s="44"/>
      <c r="W239" s="32"/>
      <c r="X239" s="48"/>
      <c r="Y239" s="32"/>
      <c r="Z239" s="37">
        <f>SUM(Z240:Z252)</f>
        <v>20395.748</v>
      </c>
      <c r="AA239" s="53"/>
      <c r="AB239" s="44"/>
      <c r="AC239" s="32"/>
      <c r="AD239" s="44"/>
      <c r="AE239" s="32"/>
      <c r="AF239" s="48"/>
      <c r="AG239" s="32"/>
      <c r="AH239" s="37">
        <f>SUM(AH240:AH252)</f>
        <v>20395.748</v>
      </c>
      <c r="AI239" s="53"/>
      <c r="AJ239" s="44"/>
      <c r="AK239" s="32"/>
      <c r="AL239" s="44"/>
      <c r="AM239" s="32"/>
      <c r="AN239" s="48"/>
      <c r="AO239" s="32"/>
      <c r="AP239" s="37">
        <f>SUM(AP240:AP252)</f>
        <v>20395.748</v>
      </c>
    </row>
    <row r="240" spans="1:42" ht="39" customHeight="1" x14ac:dyDescent="0.25">
      <c r="A240" s="92" t="s">
        <v>818</v>
      </c>
      <c r="B240" s="12" t="s">
        <v>444</v>
      </c>
      <c r="C240" s="11" t="s">
        <v>26</v>
      </c>
      <c r="D240" s="11" t="s">
        <v>445</v>
      </c>
      <c r="E240" s="13" t="s">
        <v>116</v>
      </c>
      <c r="F240" s="12">
        <v>593.29999999999995</v>
      </c>
      <c r="G240" s="14">
        <v>6.39</v>
      </c>
      <c r="H240" s="14">
        <v>7.82</v>
      </c>
      <c r="I240" s="14">
        <v>4639.6000000000004</v>
      </c>
      <c r="J240" s="28">
        <v>3.3116345467523196E-3</v>
      </c>
      <c r="K240" s="186"/>
      <c r="L240" s="186"/>
      <c r="M240" s="186"/>
      <c r="N240" s="186"/>
      <c r="O240" s="30"/>
      <c r="P240" s="43">
        <f t="shared" ref="P240:P252" si="408">O240*H240</f>
        <v>0</v>
      </c>
      <c r="Q240" s="30">
        <f t="shared" ref="Q240:Q252" si="409">O240</f>
        <v>0</v>
      </c>
      <c r="R240" s="25">
        <f t="shared" ref="R240:R252" si="410">Q240/F240</f>
        <v>0</v>
      </c>
      <c r="S240" s="30">
        <f t="shared" si="391"/>
        <v>593.29999999999995</v>
      </c>
      <c r="T240" s="36">
        <f t="shared" ref="T240:T252" si="411">S240*H240</f>
        <v>4639.6059999999998</v>
      </c>
      <c r="U240" s="30"/>
      <c r="V240" s="43">
        <f t="shared" ref="V240:V252" si="412">U240*H240</f>
        <v>0</v>
      </c>
      <c r="W240" s="30">
        <f t="shared" ref="W240:W252" si="413">Q240+U240</f>
        <v>0</v>
      </c>
      <c r="X240" s="47">
        <f t="shared" si="395"/>
        <v>0</v>
      </c>
      <c r="Y240" s="30">
        <f t="shared" ref="Y240:Y252" si="414">F240-W240</f>
        <v>593.29999999999995</v>
      </c>
      <c r="Z240" s="36">
        <f t="shared" ref="Z240:Z252" si="415">Y240*H240</f>
        <v>4639.6059999999998</v>
      </c>
      <c r="AA240" s="52"/>
      <c r="AB240" s="43">
        <f t="shared" ref="AB240:AB252" si="416">AA240*H240</f>
        <v>0</v>
      </c>
      <c r="AC240" s="30"/>
      <c r="AD240" s="43"/>
      <c r="AE240" s="30">
        <f t="shared" ref="AE240:AE252" si="417">W240+AC240</f>
        <v>0</v>
      </c>
      <c r="AF240" s="47">
        <f t="shared" si="400"/>
        <v>0</v>
      </c>
      <c r="AG240" s="30">
        <f t="shared" ref="AG240:AG252" si="418">F240-AE240</f>
        <v>593.29999999999995</v>
      </c>
      <c r="AH240" s="36">
        <f t="shared" ref="AH240:AH252" si="419">AG240*H240</f>
        <v>4639.6059999999998</v>
      </c>
      <c r="AI240" s="52"/>
      <c r="AJ240" s="43">
        <f t="shared" ref="AJ240:AJ252" si="420">AI240*T240</f>
        <v>0</v>
      </c>
      <c r="AK240" s="30"/>
      <c r="AL240" s="43"/>
      <c r="AM240" s="30">
        <f t="shared" ref="AM240:AM252" si="421">AE240+AK240</f>
        <v>0</v>
      </c>
      <c r="AN240" s="47">
        <f t="shared" si="405"/>
        <v>0</v>
      </c>
      <c r="AO240" s="30">
        <f t="shared" ref="AO240:AO252" si="422">F240-AM240</f>
        <v>593.29999999999995</v>
      </c>
      <c r="AP240" s="36">
        <f t="shared" ref="AP240:AP252" si="423">AO240*H240</f>
        <v>4639.6059999999998</v>
      </c>
    </row>
    <row r="241" spans="1:42" ht="39" customHeight="1" x14ac:dyDescent="0.25">
      <c r="A241" s="92" t="s">
        <v>819</v>
      </c>
      <c r="B241" s="12" t="s">
        <v>446</v>
      </c>
      <c r="C241" s="11" t="s">
        <v>26</v>
      </c>
      <c r="D241" s="11" t="s">
        <v>447</v>
      </c>
      <c r="E241" s="13" t="s">
        <v>116</v>
      </c>
      <c r="F241" s="12">
        <v>199.5</v>
      </c>
      <c r="G241" s="14">
        <v>8.2799999999999994</v>
      </c>
      <c r="H241" s="14">
        <v>10.14</v>
      </c>
      <c r="I241" s="14">
        <v>2022.93</v>
      </c>
      <c r="J241" s="28">
        <v>1.4439186295503211E-3</v>
      </c>
      <c r="K241" s="186"/>
      <c r="L241" s="186"/>
      <c r="M241" s="186"/>
      <c r="N241" s="186"/>
      <c r="O241" s="30"/>
      <c r="P241" s="43">
        <f t="shared" si="408"/>
        <v>0</v>
      </c>
      <c r="Q241" s="30">
        <f t="shared" si="409"/>
        <v>0</v>
      </c>
      <c r="R241" s="25">
        <f t="shared" si="410"/>
        <v>0</v>
      </c>
      <c r="S241" s="30">
        <f t="shared" si="391"/>
        <v>199.5</v>
      </c>
      <c r="T241" s="36">
        <f t="shared" si="411"/>
        <v>2022.93</v>
      </c>
      <c r="U241" s="30"/>
      <c r="V241" s="43">
        <f t="shared" si="412"/>
        <v>0</v>
      </c>
      <c r="W241" s="30">
        <f t="shared" si="413"/>
        <v>0</v>
      </c>
      <c r="X241" s="47">
        <f t="shared" si="395"/>
        <v>0</v>
      </c>
      <c r="Y241" s="30">
        <f t="shared" si="414"/>
        <v>199.5</v>
      </c>
      <c r="Z241" s="36">
        <f t="shared" si="415"/>
        <v>2022.93</v>
      </c>
      <c r="AA241" s="52"/>
      <c r="AB241" s="43">
        <f t="shared" si="416"/>
        <v>0</v>
      </c>
      <c r="AC241" s="30"/>
      <c r="AD241" s="43"/>
      <c r="AE241" s="30">
        <f t="shared" si="417"/>
        <v>0</v>
      </c>
      <c r="AF241" s="47">
        <f t="shared" si="400"/>
        <v>0</v>
      </c>
      <c r="AG241" s="30">
        <f t="shared" si="418"/>
        <v>199.5</v>
      </c>
      <c r="AH241" s="36">
        <f t="shared" si="419"/>
        <v>2022.93</v>
      </c>
      <c r="AI241" s="52"/>
      <c r="AJ241" s="43">
        <f t="shared" si="420"/>
        <v>0</v>
      </c>
      <c r="AK241" s="30"/>
      <c r="AL241" s="43"/>
      <c r="AM241" s="30">
        <f t="shared" si="421"/>
        <v>0</v>
      </c>
      <c r="AN241" s="47">
        <f t="shared" si="405"/>
        <v>0</v>
      </c>
      <c r="AO241" s="30">
        <f t="shared" si="422"/>
        <v>199.5</v>
      </c>
      <c r="AP241" s="36">
        <f t="shared" si="423"/>
        <v>2022.93</v>
      </c>
    </row>
    <row r="242" spans="1:42" ht="39" customHeight="1" x14ac:dyDescent="0.25">
      <c r="A242" s="92" t="s">
        <v>820</v>
      </c>
      <c r="B242" s="12" t="s">
        <v>448</v>
      </c>
      <c r="C242" s="11" t="s">
        <v>26</v>
      </c>
      <c r="D242" s="11" t="s">
        <v>449</v>
      </c>
      <c r="E242" s="13" t="s">
        <v>116</v>
      </c>
      <c r="F242" s="12">
        <v>159.5</v>
      </c>
      <c r="G242" s="14">
        <v>12.97</v>
      </c>
      <c r="H242" s="14">
        <v>15.88</v>
      </c>
      <c r="I242" s="14">
        <v>2532.86</v>
      </c>
      <c r="J242" s="28">
        <v>1.8078943611705923E-3</v>
      </c>
      <c r="K242" s="186"/>
      <c r="L242" s="186"/>
      <c r="M242" s="186"/>
      <c r="N242" s="186"/>
      <c r="O242" s="30"/>
      <c r="P242" s="43">
        <f t="shared" si="408"/>
        <v>0</v>
      </c>
      <c r="Q242" s="30">
        <f t="shared" si="409"/>
        <v>0</v>
      </c>
      <c r="R242" s="25">
        <f t="shared" si="410"/>
        <v>0</v>
      </c>
      <c r="S242" s="30">
        <f t="shared" si="391"/>
        <v>159.5</v>
      </c>
      <c r="T242" s="36">
        <f t="shared" si="411"/>
        <v>2532.86</v>
      </c>
      <c r="U242" s="30"/>
      <c r="V242" s="43">
        <f t="shared" si="412"/>
        <v>0</v>
      </c>
      <c r="W242" s="30">
        <f t="shared" si="413"/>
        <v>0</v>
      </c>
      <c r="X242" s="47">
        <f t="shared" si="395"/>
        <v>0</v>
      </c>
      <c r="Y242" s="30">
        <f t="shared" si="414"/>
        <v>159.5</v>
      </c>
      <c r="Z242" s="36">
        <f t="shared" si="415"/>
        <v>2532.86</v>
      </c>
      <c r="AA242" s="52"/>
      <c r="AB242" s="43">
        <f t="shared" si="416"/>
        <v>0</v>
      </c>
      <c r="AC242" s="30"/>
      <c r="AD242" s="43"/>
      <c r="AE242" s="30">
        <f t="shared" si="417"/>
        <v>0</v>
      </c>
      <c r="AF242" s="47">
        <f t="shared" si="400"/>
        <v>0</v>
      </c>
      <c r="AG242" s="30">
        <f t="shared" si="418"/>
        <v>159.5</v>
      </c>
      <c r="AH242" s="36">
        <f t="shared" si="419"/>
        <v>2532.86</v>
      </c>
      <c r="AI242" s="52"/>
      <c r="AJ242" s="43">
        <f t="shared" si="420"/>
        <v>0</v>
      </c>
      <c r="AK242" s="30"/>
      <c r="AL242" s="43"/>
      <c r="AM242" s="30">
        <f t="shared" si="421"/>
        <v>0</v>
      </c>
      <c r="AN242" s="47">
        <f t="shared" si="405"/>
        <v>0</v>
      </c>
      <c r="AO242" s="30">
        <f t="shared" si="422"/>
        <v>159.5</v>
      </c>
      <c r="AP242" s="36">
        <f t="shared" si="423"/>
        <v>2532.86</v>
      </c>
    </row>
    <row r="243" spans="1:42" ht="39" customHeight="1" x14ac:dyDescent="0.25">
      <c r="A243" s="92" t="s">
        <v>821</v>
      </c>
      <c r="B243" s="12" t="s">
        <v>450</v>
      </c>
      <c r="C243" s="11" t="s">
        <v>26</v>
      </c>
      <c r="D243" s="11" t="s">
        <v>451</v>
      </c>
      <c r="E243" s="13" t="s">
        <v>116</v>
      </c>
      <c r="F243" s="12">
        <v>102.4</v>
      </c>
      <c r="G243" s="14">
        <v>19.38</v>
      </c>
      <c r="H243" s="14">
        <v>23.73</v>
      </c>
      <c r="I243" s="14">
        <v>2429.9499999999998</v>
      </c>
      <c r="J243" s="28">
        <v>1.7344396859386153E-3</v>
      </c>
      <c r="K243" s="186"/>
      <c r="L243" s="186"/>
      <c r="M243" s="186"/>
      <c r="N243" s="186"/>
      <c r="O243" s="30"/>
      <c r="P243" s="43">
        <f t="shared" si="408"/>
        <v>0</v>
      </c>
      <c r="Q243" s="30">
        <f t="shared" si="409"/>
        <v>0</v>
      </c>
      <c r="R243" s="25">
        <f t="shared" si="410"/>
        <v>0</v>
      </c>
      <c r="S243" s="30">
        <f t="shared" si="391"/>
        <v>102.4</v>
      </c>
      <c r="T243" s="36">
        <f t="shared" si="411"/>
        <v>2429.9520000000002</v>
      </c>
      <c r="U243" s="30"/>
      <c r="V243" s="43">
        <f t="shared" si="412"/>
        <v>0</v>
      </c>
      <c r="W243" s="30">
        <f t="shared" si="413"/>
        <v>0</v>
      </c>
      <c r="X243" s="47">
        <f t="shared" si="395"/>
        <v>0</v>
      </c>
      <c r="Y243" s="30">
        <f t="shared" si="414"/>
        <v>102.4</v>
      </c>
      <c r="Z243" s="36">
        <f t="shared" si="415"/>
        <v>2429.9520000000002</v>
      </c>
      <c r="AA243" s="52"/>
      <c r="AB243" s="43">
        <f t="shared" si="416"/>
        <v>0</v>
      </c>
      <c r="AC243" s="30"/>
      <c r="AD243" s="43"/>
      <c r="AE243" s="30">
        <f t="shared" si="417"/>
        <v>0</v>
      </c>
      <c r="AF243" s="47">
        <f t="shared" si="400"/>
        <v>0</v>
      </c>
      <c r="AG243" s="30">
        <f t="shared" si="418"/>
        <v>102.4</v>
      </c>
      <c r="AH243" s="36">
        <f t="shared" si="419"/>
        <v>2429.9520000000002</v>
      </c>
      <c r="AI243" s="52"/>
      <c r="AJ243" s="43">
        <f t="shared" si="420"/>
        <v>0</v>
      </c>
      <c r="AK243" s="30"/>
      <c r="AL243" s="43"/>
      <c r="AM243" s="30">
        <f t="shared" si="421"/>
        <v>0</v>
      </c>
      <c r="AN243" s="47">
        <f t="shared" si="405"/>
        <v>0</v>
      </c>
      <c r="AO243" s="30">
        <f t="shared" si="422"/>
        <v>102.4</v>
      </c>
      <c r="AP243" s="36">
        <f t="shared" si="423"/>
        <v>2429.9520000000002</v>
      </c>
    </row>
    <row r="244" spans="1:42" ht="39" customHeight="1" x14ac:dyDescent="0.25">
      <c r="A244" s="92" t="s">
        <v>822</v>
      </c>
      <c r="B244" s="12" t="s">
        <v>452</v>
      </c>
      <c r="C244" s="11" t="s">
        <v>26</v>
      </c>
      <c r="D244" s="11" t="s">
        <v>453</v>
      </c>
      <c r="E244" s="13" t="s">
        <v>116</v>
      </c>
      <c r="F244" s="12">
        <v>80</v>
      </c>
      <c r="G244" s="14">
        <v>33.32</v>
      </c>
      <c r="H244" s="14">
        <v>40.799999999999997</v>
      </c>
      <c r="I244" s="14">
        <v>3264</v>
      </c>
      <c r="J244" s="28">
        <v>2.3297644539614559E-3</v>
      </c>
      <c r="K244" s="186"/>
      <c r="L244" s="186"/>
      <c r="M244" s="186"/>
      <c r="N244" s="186"/>
      <c r="O244" s="30"/>
      <c r="P244" s="43">
        <f t="shared" si="408"/>
        <v>0</v>
      </c>
      <c r="Q244" s="30">
        <f t="shared" si="409"/>
        <v>0</v>
      </c>
      <c r="R244" s="25">
        <f t="shared" si="410"/>
        <v>0</v>
      </c>
      <c r="S244" s="30">
        <f t="shared" si="391"/>
        <v>80</v>
      </c>
      <c r="T244" s="36">
        <f t="shared" si="411"/>
        <v>3264</v>
      </c>
      <c r="U244" s="30"/>
      <c r="V244" s="43">
        <f t="shared" si="412"/>
        <v>0</v>
      </c>
      <c r="W244" s="30">
        <f t="shared" si="413"/>
        <v>0</v>
      </c>
      <c r="X244" s="47">
        <f t="shared" si="395"/>
        <v>0</v>
      </c>
      <c r="Y244" s="30">
        <f t="shared" si="414"/>
        <v>80</v>
      </c>
      <c r="Z244" s="36">
        <f t="shared" si="415"/>
        <v>3264</v>
      </c>
      <c r="AA244" s="52"/>
      <c r="AB244" s="43">
        <f t="shared" si="416"/>
        <v>0</v>
      </c>
      <c r="AC244" s="30"/>
      <c r="AD244" s="43"/>
      <c r="AE244" s="30">
        <f t="shared" si="417"/>
        <v>0</v>
      </c>
      <c r="AF244" s="47">
        <f t="shared" si="400"/>
        <v>0</v>
      </c>
      <c r="AG244" s="30">
        <f t="shared" si="418"/>
        <v>80</v>
      </c>
      <c r="AH244" s="36">
        <f t="shared" si="419"/>
        <v>3264</v>
      </c>
      <c r="AI244" s="52"/>
      <c r="AJ244" s="43">
        <f t="shared" si="420"/>
        <v>0</v>
      </c>
      <c r="AK244" s="30"/>
      <c r="AL244" s="43"/>
      <c r="AM244" s="30">
        <f t="shared" si="421"/>
        <v>0</v>
      </c>
      <c r="AN244" s="47">
        <f t="shared" si="405"/>
        <v>0</v>
      </c>
      <c r="AO244" s="30">
        <f t="shared" si="422"/>
        <v>80</v>
      </c>
      <c r="AP244" s="36">
        <f t="shared" si="423"/>
        <v>3264</v>
      </c>
    </row>
    <row r="245" spans="1:42" ht="14.25" customHeight="1" x14ac:dyDescent="0.25">
      <c r="A245" s="92" t="s">
        <v>823</v>
      </c>
      <c r="B245" s="12" t="s">
        <v>454</v>
      </c>
      <c r="C245" s="11" t="s">
        <v>26</v>
      </c>
      <c r="D245" s="11" t="s">
        <v>455</v>
      </c>
      <c r="E245" s="13" t="s">
        <v>31</v>
      </c>
      <c r="F245" s="12">
        <v>9</v>
      </c>
      <c r="G245" s="14">
        <v>27.85</v>
      </c>
      <c r="H245" s="14">
        <v>34.1</v>
      </c>
      <c r="I245" s="14">
        <v>306.89999999999998</v>
      </c>
      <c r="J245" s="28">
        <v>2.1905781584582442E-4</v>
      </c>
      <c r="K245" s="186"/>
      <c r="L245" s="186"/>
      <c r="M245" s="186"/>
      <c r="N245" s="186"/>
      <c r="O245" s="30"/>
      <c r="P245" s="43">
        <f t="shared" si="408"/>
        <v>0</v>
      </c>
      <c r="Q245" s="30">
        <f t="shared" si="409"/>
        <v>0</v>
      </c>
      <c r="R245" s="25">
        <f t="shared" si="410"/>
        <v>0</v>
      </c>
      <c r="S245" s="30">
        <f t="shared" si="391"/>
        <v>9</v>
      </c>
      <c r="T245" s="36">
        <f t="shared" si="411"/>
        <v>306.90000000000003</v>
      </c>
      <c r="U245" s="30"/>
      <c r="V245" s="43">
        <f t="shared" si="412"/>
        <v>0</v>
      </c>
      <c r="W245" s="30">
        <f t="shared" si="413"/>
        <v>0</v>
      </c>
      <c r="X245" s="47">
        <f t="shared" si="395"/>
        <v>0</v>
      </c>
      <c r="Y245" s="30">
        <f t="shared" si="414"/>
        <v>9</v>
      </c>
      <c r="Z245" s="36">
        <f t="shared" si="415"/>
        <v>306.90000000000003</v>
      </c>
      <c r="AA245" s="52"/>
      <c r="AB245" s="43">
        <f t="shared" si="416"/>
        <v>0</v>
      </c>
      <c r="AC245" s="30"/>
      <c r="AD245" s="43"/>
      <c r="AE245" s="30">
        <f t="shared" si="417"/>
        <v>0</v>
      </c>
      <c r="AF245" s="47">
        <f t="shared" si="400"/>
        <v>0</v>
      </c>
      <c r="AG245" s="30">
        <f t="shared" si="418"/>
        <v>9</v>
      </c>
      <c r="AH245" s="36">
        <f t="shared" si="419"/>
        <v>306.90000000000003</v>
      </c>
      <c r="AI245" s="52"/>
      <c r="AJ245" s="43">
        <f t="shared" si="420"/>
        <v>0</v>
      </c>
      <c r="AK245" s="30"/>
      <c r="AL245" s="43"/>
      <c r="AM245" s="30">
        <f t="shared" si="421"/>
        <v>0</v>
      </c>
      <c r="AN245" s="47">
        <f t="shared" si="405"/>
        <v>0</v>
      </c>
      <c r="AO245" s="30">
        <f t="shared" si="422"/>
        <v>9</v>
      </c>
      <c r="AP245" s="36">
        <f t="shared" si="423"/>
        <v>306.90000000000003</v>
      </c>
    </row>
    <row r="246" spans="1:42" ht="39" customHeight="1" x14ac:dyDescent="0.25">
      <c r="A246" s="92" t="s">
        <v>824</v>
      </c>
      <c r="B246" s="12" t="s">
        <v>388</v>
      </c>
      <c r="C246" s="11" t="s">
        <v>26</v>
      </c>
      <c r="D246" s="11" t="s">
        <v>389</v>
      </c>
      <c r="E246" s="13" t="s">
        <v>31</v>
      </c>
      <c r="F246" s="12">
        <v>2</v>
      </c>
      <c r="G246" s="14">
        <v>10.050000000000001</v>
      </c>
      <c r="H246" s="14">
        <v>12.3</v>
      </c>
      <c r="I246" s="14">
        <v>24.6</v>
      </c>
      <c r="J246" s="28">
        <v>1.7558886509635974E-5</v>
      </c>
      <c r="K246" s="186"/>
      <c r="L246" s="186"/>
      <c r="M246" s="186"/>
      <c r="N246" s="186"/>
      <c r="O246" s="30"/>
      <c r="P246" s="43">
        <f t="shared" si="408"/>
        <v>0</v>
      </c>
      <c r="Q246" s="30">
        <f t="shared" si="409"/>
        <v>0</v>
      </c>
      <c r="R246" s="25">
        <f t="shared" si="410"/>
        <v>0</v>
      </c>
      <c r="S246" s="30">
        <f t="shared" si="391"/>
        <v>2</v>
      </c>
      <c r="T246" s="36">
        <f t="shared" si="411"/>
        <v>24.6</v>
      </c>
      <c r="U246" s="30"/>
      <c r="V246" s="43">
        <f t="shared" si="412"/>
        <v>0</v>
      </c>
      <c r="W246" s="30">
        <f t="shared" si="413"/>
        <v>0</v>
      </c>
      <c r="X246" s="47">
        <f t="shared" si="395"/>
        <v>0</v>
      </c>
      <c r="Y246" s="30">
        <f t="shared" si="414"/>
        <v>2</v>
      </c>
      <c r="Z246" s="36">
        <f t="shared" si="415"/>
        <v>24.6</v>
      </c>
      <c r="AA246" s="52"/>
      <c r="AB246" s="43">
        <f t="shared" si="416"/>
        <v>0</v>
      </c>
      <c r="AC246" s="30"/>
      <c r="AD246" s="43"/>
      <c r="AE246" s="30">
        <f t="shared" si="417"/>
        <v>0</v>
      </c>
      <c r="AF246" s="47">
        <f t="shared" si="400"/>
        <v>0</v>
      </c>
      <c r="AG246" s="30">
        <f t="shared" si="418"/>
        <v>2</v>
      </c>
      <c r="AH246" s="36">
        <f t="shared" si="419"/>
        <v>24.6</v>
      </c>
      <c r="AI246" s="52"/>
      <c r="AJ246" s="43">
        <f t="shared" si="420"/>
        <v>0</v>
      </c>
      <c r="AK246" s="30"/>
      <c r="AL246" s="43"/>
      <c r="AM246" s="30">
        <f t="shared" si="421"/>
        <v>0</v>
      </c>
      <c r="AN246" s="47">
        <f t="shared" si="405"/>
        <v>0</v>
      </c>
      <c r="AO246" s="30">
        <f t="shared" si="422"/>
        <v>2</v>
      </c>
      <c r="AP246" s="36">
        <f t="shared" si="423"/>
        <v>24.6</v>
      </c>
    </row>
    <row r="247" spans="1:42" ht="14.25" customHeight="1" x14ac:dyDescent="0.25">
      <c r="A247" s="92" t="s">
        <v>825</v>
      </c>
      <c r="B247" s="12" t="s">
        <v>456</v>
      </c>
      <c r="C247" s="11" t="s">
        <v>109</v>
      </c>
      <c r="D247" s="11" t="s">
        <v>457</v>
      </c>
      <c r="E247" s="13" t="s">
        <v>31</v>
      </c>
      <c r="F247" s="12">
        <v>9</v>
      </c>
      <c r="G247" s="14">
        <v>154.57</v>
      </c>
      <c r="H247" s="14">
        <v>189.3</v>
      </c>
      <c r="I247" s="14">
        <v>1703.7</v>
      </c>
      <c r="J247" s="28">
        <v>1.2160599571734475E-3</v>
      </c>
      <c r="K247" s="186"/>
      <c r="L247" s="186"/>
      <c r="M247" s="186"/>
      <c r="N247" s="186"/>
      <c r="O247" s="30"/>
      <c r="P247" s="43">
        <f t="shared" si="408"/>
        <v>0</v>
      </c>
      <c r="Q247" s="30">
        <f t="shared" si="409"/>
        <v>0</v>
      </c>
      <c r="R247" s="25">
        <f t="shared" si="410"/>
        <v>0</v>
      </c>
      <c r="S247" s="30">
        <f t="shared" si="391"/>
        <v>9</v>
      </c>
      <c r="T247" s="36">
        <f t="shared" si="411"/>
        <v>1703.7</v>
      </c>
      <c r="U247" s="30"/>
      <c r="V247" s="43">
        <f t="shared" si="412"/>
        <v>0</v>
      </c>
      <c r="W247" s="30">
        <f t="shared" si="413"/>
        <v>0</v>
      </c>
      <c r="X247" s="47">
        <f t="shared" si="395"/>
        <v>0</v>
      </c>
      <c r="Y247" s="30">
        <f t="shared" si="414"/>
        <v>9</v>
      </c>
      <c r="Z247" s="36">
        <f t="shared" si="415"/>
        <v>1703.7</v>
      </c>
      <c r="AA247" s="52"/>
      <c r="AB247" s="43">
        <f t="shared" si="416"/>
        <v>0</v>
      </c>
      <c r="AC247" s="30"/>
      <c r="AD247" s="43"/>
      <c r="AE247" s="30">
        <f t="shared" si="417"/>
        <v>0</v>
      </c>
      <c r="AF247" s="47">
        <f t="shared" si="400"/>
        <v>0</v>
      </c>
      <c r="AG247" s="30">
        <f t="shared" si="418"/>
        <v>9</v>
      </c>
      <c r="AH247" s="36">
        <f t="shared" si="419"/>
        <v>1703.7</v>
      </c>
      <c r="AI247" s="52"/>
      <c r="AJ247" s="43">
        <f t="shared" si="420"/>
        <v>0</v>
      </c>
      <c r="AK247" s="30"/>
      <c r="AL247" s="43"/>
      <c r="AM247" s="30">
        <f t="shared" si="421"/>
        <v>0</v>
      </c>
      <c r="AN247" s="47">
        <f t="shared" si="405"/>
        <v>0</v>
      </c>
      <c r="AO247" s="30">
        <f t="shared" si="422"/>
        <v>9</v>
      </c>
      <c r="AP247" s="36">
        <f t="shared" si="423"/>
        <v>1703.7</v>
      </c>
    </row>
    <row r="248" spans="1:42" ht="25.5" customHeight="1" x14ac:dyDescent="0.25">
      <c r="A248" s="92" t="s">
        <v>826</v>
      </c>
      <c r="B248" s="12" t="s">
        <v>458</v>
      </c>
      <c r="C248" s="11" t="s">
        <v>109</v>
      </c>
      <c r="D248" s="11" t="s">
        <v>459</v>
      </c>
      <c r="E248" s="13" t="s">
        <v>31</v>
      </c>
      <c r="F248" s="12">
        <v>5</v>
      </c>
      <c r="G248" s="14">
        <v>154.57</v>
      </c>
      <c r="H248" s="14">
        <v>189.3</v>
      </c>
      <c r="I248" s="14">
        <v>946.5</v>
      </c>
      <c r="J248" s="28">
        <v>6.7558886509635975E-4</v>
      </c>
      <c r="K248" s="186"/>
      <c r="L248" s="186"/>
      <c r="M248" s="186"/>
      <c r="N248" s="186"/>
      <c r="O248" s="30"/>
      <c r="P248" s="43">
        <f t="shared" si="408"/>
        <v>0</v>
      </c>
      <c r="Q248" s="30">
        <f t="shared" si="409"/>
        <v>0</v>
      </c>
      <c r="R248" s="25">
        <f t="shared" si="410"/>
        <v>0</v>
      </c>
      <c r="S248" s="30">
        <f t="shared" si="391"/>
        <v>5</v>
      </c>
      <c r="T248" s="36">
        <f t="shared" si="411"/>
        <v>946.5</v>
      </c>
      <c r="U248" s="30"/>
      <c r="V248" s="43">
        <f t="shared" si="412"/>
        <v>0</v>
      </c>
      <c r="W248" s="30">
        <f t="shared" si="413"/>
        <v>0</v>
      </c>
      <c r="X248" s="47">
        <f t="shared" si="395"/>
        <v>0</v>
      </c>
      <c r="Y248" s="30">
        <f t="shared" si="414"/>
        <v>5</v>
      </c>
      <c r="Z248" s="36">
        <f t="shared" si="415"/>
        <v>946.5</v>
      </c>
      <c r="AA248" s="52"/>
      <c r="AB248" s="43">
        <f t="shared" si="416"/>
        <v>0</v>
      </c>
      <c r="AC248" s="30"/>
      <c r="AD248" s="43"/>
      <c r="AE248" s="30">
        <f t="shared" si="417"/>
        <v>0</v>
      </c>
      <c r="AF248" s="47">
        <f t="shared" si="400"/>
        <v>0</v>
      </c>
      <c r="AG248" s="30">
        <f t="shared" si="418"/>
        <v>5</v>
      </c>
      <c r="AH248" s="36">
        <f t="shared" si="419"/>
        <v>946.5</v>
      </c>
      <c r="AI248" s="52"/>
      <c r="AJ248" s="43">
        <f t="shared" si="420"/>
        <v>0</v>
      </c>
      <c r="AK248" s="30"/>
      <c r="AL248" s="43"/>
      <c r="AM248" s="30">
        <f t="shared" si="421"/>
        <v>0</v>
      </c>
      <c r="AN248" s="47">
        <f t="shared" si="405"/>
        <v>0</v>
      </c>
      <c r="AO248" s="30">
        <f t="shared" si="422"/>
        <v>5</v>
      </c>
      <c r="AP248" s="36">
        <f t="shared" si="423"/>
        <v>946.5</v>
      </c>
    </row>
    <row r="249" spans="1:42" ht="14.25" customHeight="1" x14ac:dyDescent="0.25">
      <c r="A249" s="92" t="s">
        <v>827</v>
      </c>
      <c r="B249" s="12" t="s">
        <v>460</v>
      </c>
      <c r="C249" s="11" t="s">
        <v>26</v>
      </c>
      <c r="D249" s="11" t="s">
        <v>461</v>
      </c>
      <c r="E249" s="13" t="s">
        <v>31</v>
      </c>
      <c r="F249" s="12">
        <v>5</v>
      </c>
      <c r="G249" s="14">
        <v>8.02</v>
      </c>
      <c r="H249" s="14">
        <v>9.82</v>
      </c>
      <c r="I249" s="14">
        <v>49.1</v>
      </c>
      <c r="J249" s="28">
        <v>3.5046395431834402E-5</v>
      </c>
      <c r="K249" s="186"/>
      <c r="L249" s="186"/>
      <c r="M249" s="186"/>
      <c r="N249" s="186"/>
      <c r="O249" s="30"/>
      <c r="P249" s="43">
        <f t="shared" si="408"/>
        <v>0</v>
      </c>
      <c r="Q249" s="30">
        <f t="shared" si="409"/>
        <v>0</v>
      </c>
      <c r="R249" s="25">
        <f t="shared" si="410"/>
        <v>0</v>
      </c>
      <c r="S249" s="30">
        <f t="shared" si="391"/>
        <v>5</v>
      </c>
      <c r="T249" s="36">
        <f t="shared" si="411"/>
        <v>49.1</v>
      </c>
      <c r="U249" s="30"/>
      <c r="V249" s="43">
        <f t="shared" si="412"/>
        <v>0</v>
      </c>
      <c r="W249" s="30">
        <f t="shared" si="413"/>
        <v>0</v>
      </c>
      <c r="X249" s="47">
        <f t="shared" si="395"/>
        <v>0</v>
      </c>
      <c r="Y249" s="30">
        <f t="shared" si="414"/>
        <v>5</v>
      </c>
      <c r="Z249" s="36">
        <f t="shared" si="415"/>
        <v>49.1</v>
      </c>
      <c r="AA249" s="52"/>
      <c r="AB249" s="43">
        <f t="shared" si="416"/>
        <v>0</v>
      </c>
      <c r="AC249" s="30"/>
      <c r="AD249" s="43"/>
      <c r="AE249" s="30">
        <f t="shared" si="417"/>
        <v>0</v>
      </c>
      <c r="AF249" s="47">
        <f t="shared" si="400"/>
        <v>0</v>
      </c>
      <c r="AG249" s="30">
        <f t="shared" si="418"/>
        <v>5</v>
      </c>
      <c r="AH249" s="36">
        <f t="shared" si="419"/>
        <v>49.1</v>
      </c>
      <c r="AI249" s="52"/>
      <c r="AJ249" s="43">
        <f t="shared" si="420"/>
        <v>0</v>
      </c>
      <c r="AK249" s="30"/>
      <c r="AL249" s="43"/>
      <c r="AM249" s="30">
        <f t="shared" si="421"/>
        <v>0</v>
      </c>
      <c r="AN249" s="47">
        <f t="shared" si="405"/>
        <v>0</v>
      </c>
      <c r="AO249" s="30">
        <f t="shared" si="422"/>
        <v>5</v>
      </c>
      <c r="AP249" s="36">
        <f t="shared" si="423"/>
        <v>49.1</v>
      </c>
    </row>
    <row r="250" spans="1:42" ht="14.25" customHeight="1" x14ac:dyDescent="0.25">
      <c r="A250" s="92" t="s">
        <v>828</v>
      </c>
      <c r="B250" s="12" t="s">
        <v>462</v>
      </c>
      <c r="C250" s="11" t="s">
        <v>26</v>
      </c>
      <c r="D250" s="11" t="s">
        <v>463</v>
      </c>
      <c r="E250" s="13" t="s">
        <v>31</v>
      </c>
      <c r="F250" s="12">
        <v>88</v>
      </c>
      <c r="G250" s="14">
        <v>6.77</v>
      </c>
      <c r="H250" s="14">
        <v>8.2899999999999991</v>
      </c>
      <c r="I250" s="14">
        <v>729.52</v>
      </c>
      <c r="J250" s="28">
        <v>5.2071377587437539E-4</v>
      </c>
      <c r="K250" s="186"/>
      <c r="L250" s="186"/>
      <c r="M250" s="186"/>
      <c r="N250" s="186"/>
      <c r="O250" s="30"/>
      <c r="P250" s="43">
        <f t="shared" si="408"/>
        <v>0</v>
      </c>
      <c r="Q250" s="30">
        <f t="shared" si="409"/>
        <v>0</v>
      </c>
      <c r="R250" s="25">
        <f t="shared" si="410"/>
        <v>0</v>
      </c>
      <c r="S250" s="30">
        <f t="shared" si="391"/>
        <v>88</v>
      </c>
      <c r="T250" s="36">
        <f t="shared" si="411"/>
        <v>729.52</v>
      </c>
      <c r="U250" s="30"/>
      <c r="V250" s="43">
        <f t="shared" si="412"/>
        <v>0</v>
      </c>
      <c r="W250" s="30">
        <f t="shared" si="413"/>
        <v>0</v>
      </c>
      <c r="X250" s="47">
        <f t="shared" si="395"/>
        <v>0</v>
      </c>
      <c r="Y250" s="30">
        <f t="shared" si="414"/>
        <v>88</v>
      </c>
      <c r="Z250" s="36">
        <f t="shared" si="415"/>
        <v>729.52</v>
      </c>
      <c r="AA250" s="52"/>
      <c r="AB250" s="43">
        <f t="shared" si="416"/>
        <v>0</v>
      </c>
      <c r="AC250" s="30"/>
      <c r="AD250" s="43"/>
      <c r="AE250" s="30">
        <f t="shared" si="417"/>
        <v>0</v>
      </c>
      <c r="AF250" s="47">
        <f t="shared" si="400"/>
        <v>0</v>
      </c>
      <c r="AG250" s="30">
        <f t="shared" si="418"/>
        <v>88</v>
      </c>
      <c r="AH250" s="36">
        <f t="shared" si="419"/>
        <v>729.52</v>
      </c>
      <c r="AI250" s="52"/>
      <c r="AJ250" s="43">
        <f t="shared" si="420"/>
        <v>0</v>
      </c>
      <c r="AK250" s="30"/>
      <c r="AL250" s="43"/>
      <c r="AM250" s="30">
        <f t="shared" si="421"/>
        <v>0</v>
      </c>
      <c r="AN250" s="47">
        <f t="shared" si="405"/>
        <v>0</v>
      </c>
      <c r="AO250" s="30">
        <f t="shared" si="422"/>
        <v>88</v>
      </c>
      <c r="AP250" s="36">
        <f t="shared" si="423"/>
        <v>729.52</v>
      </c>
    </row>
    <row r="251" spans="1:42" ht="25.5" customHeight="1" x14ac:dyDescent="0.25">
      <c r="A251" s="92" t="s">
        <v>829</v>
      </c>
      <c r="B251" s="12" t="s">
        <v>464</v>
      </c>
      <c r="C251" s="11" t="s">
        <v>26</v>
      </c>
      <c r="D251" s="11" t="s">
        <v>465</v>
      </c>
      <c r="E251" s="13" t="s">
        <v>31</v>
      </c>
      <c r="F251" s="12">
        <v>147</v>
      </c>
      <c r="G251" s="14">
        <v>9.0500000000000007</v>
      </c>
      <c r="H251" s="14">
        <v>11.08</v>
      </c>
      <c r="I251" s="14">
        <v>1628.76</v>
      </c>
      <c r="J251" s="28">
        <v>1.1625695931477516E-3</v>
      </c>
      <c r="K251" s="186"/>
      <c r="L251" s="186"/>
      <c r="M251" s="186"/>
      <c r="N251" s="186"/>
      <c r="O251" s="30"/>
      <c r="P251" s="43">
        <f t="shared" si="408"/>
        <v>0</v>
      </c>
      <c r="Q251" s="30">
        <f t="shared" si="409"/>
        <v>0</v>
      </c>
      <c r="R251" s="25">
        <f t="shared" si="410"/>
        <v>0</v>
      </c>
      <c r="S251" s="30">
        <f t="shared" si="391"/>
        <v>147</v>
      </c>
      <c r="T251" s="36">
        <f t="shared" si="411"/>
        <v>1628.76</v>
      </c>
      <c r="U251" s="30"/>
      <c r="V251" s="43">
        <f t="shared" si="412"/>
        <v>0</v>
      </c>
      <c r="W251" s="30">
        <f t="shared" si="413"/>
        <v>0</v>
      </c>
      <c r="X251" s="47">
        <f t="shared" si="395"/>
        <v>0</v>
      </c>
      <c r="Y251" s="30">
        <f t="shared" si="414"/>
        <v>147</v>
      </c>
      <c r="Z251" s="36">
        <f t="shared" si="415"/>
        <v>1628.76</v>
      </c>
      <c r="AA251" s="52"/>
      <c r="AB251" s="43">
        <f t="shared" si="416"/>
        <v>0</v>
      </c>
      <c r="AC251" s="30"/>
      <c r="AD251" s="43"/>
      <c r="AE251" s="30">
        <f t="shared" si="417"/>
        <v>0</v>
      </c>
      <c r="AF251" s="47">
        <f t="shared" si="400"/>
        <v>0</v>
      </c>
      <c r="AG251" s="30">
        <f t="shared" si="418"/>
        <v>147</v>
      </c>
      <c r="AH251" s="36">
        <f t="shared" si="419"/>
        <v>1628.76</v>
      </c>
      <c r="AI251" s="52"/>
      <c r="AJ251" s="43">
        <f t="shared" si="420"/>
        <v>0</v>
      </c>
      <c r="AK251" s="30"/>
      <c r="AL251" s="43"/>
      <c r="AM251" s="30">
        <f t="shared" si="421"/>
        <v>0</v>
      </c>
      <c r="AN251" s="47">
        <f t="shared" si="405"/>
        <v>0</v>
      </c>
      <c r="AO251" s="30">
        <f t="shared" si="422"/>
        <v>147</v>
      </c>
      <c r="AP251" s="36">
        <f t="shared" si="423"/>
        <v>1628.76</v>
      </c>
    </row>
    <row r="252" spans="1:42" ht="14.25" customHeight="1" x14ac:dyDescent="0.25">
      <c r="A252" s="92" t="s">
        <v>830</v>
      </c>
      <c r="B252" s="12" t="s">
        <v>466</v>
      </c>
      <c r="C252" s="11" t="s">
        <v>29</v>
      </c>
      <c r="D252" s="11" t="s">
        <v>467</v>
      </c>
      <c r="E252" s="13" t="s">
        <v>116</v>
      </c>
      <c r="F252" s="12">
        <v>2</v>
      </c>
      <c r="G252" s="14">
        <v>47.9</v>
      </c>
      <c r="H252" s="14">
        <v>58.66</v>
      </c>
      <c r="I252" s="14">
        <v>117.32</v>
      </c>
      <c r="J252" s="28">
        <v>8.3740185581727335E-5</v>
      </c>
      <c r="K252" s="186"/>
      <c r="L252" s="186"/>
      <c r="M252" s="186"/>
      <c r="N252" s="186"/>
      <c r="O252" s="30"/>
      <c r="P252" s="43">
        <f t="shared" si="408"/>
        <v>0</v>
      </c>
      <c r="Q252" s="30">
        <f t="shared" si="409"/>
        <v>0</v>
      </c>
      <c r="R252" s="25">
        <f t="shared" si="410"/>
        <v>0</v>
      </c>
      <c r="S252" s="30">
        <f t="shared" si="391"/>
        <v>2</v>
      </c>
      <c r="T252" s="36">
        <f t="shared" si="411"/>
        <v>117.32</v>
      </c>
      <c r="U252" s="30"/>
      <c r="V252" s="43">
        <f t="shared" si="412"/>
        <v>0</v>
      </c>
      <c r="W252" s="30">
        <f t="shared" si="413"/>
        <v>0</v>
      </c>
      <c r="X252" s="47">
        <f t="shared" si="395"/>
        <v>0</v>
      </c>
      <c r="Y252" s="30">
        <f t="shared" si="414"/>
        <v>2</v>
      </c>
      <c r="Z252" s="36">
        <f t="shared" si="415"/>
        <v>117.32</v>
      </c>
      <c r="AA252" s="52"/>
      <c r="AB252" s="43">
        <f t="shared" si="416"/>
        <v>0</v>
      </c>
      <c r="AC252" s="30"/>
      <c r="AD252" s="43"/>
      <c r="AE252" s="30">
        <f t="shared" si="417"/>
        <v>0</v>
      </c>
      <c r="AF252" s="47">
        <f t="shared" si="400"/>
        <v>0</v>
      </c>
      <c r="AG252" s="30">
        <f t="shared" si="418"/>
        <v>2</v>
      </c>
      <c r="AH252" s="36">
        <f t="shared" si="419"/>
        <v>117.32</v>
      </c>
      <c r="AI252" s="52"/>
      <c r="AJ252" s="43">
        <f t="shared" si="420"/>
        <v>0</v>
      </c>
      <c r="AK252" s="30"/>
      <c r="AL252" s="43"/>
      <c r="AM252" s="30">
        <f t="shared" si="421"/>
        <v>0</v>
      </c>
      <c r="AN252" s="47">
        <f t="shared" si="405"/>
        <v>0</v>
      </c>
      <c r="AO252" s="30">
        <f t="shared" si="422"/>
        <v>2</v>
      </c>
      <c r="AP252" s="36">
        <f t="shared" si="423"/>
        <v>117.32</v>
      </c>
    </row>
    <row r="253" spans="1:42" ht="14.25" customHeight="1" x14ac:dyDescent="0.25">
      <c r="A253" s="91" t="s">
        <v>468</v>
      </c>
      <c r="B253" s="8"/>
      <c r="C253" s="8"/>
      <c r="D253" s="8" t="s">
        <v>469</v>
      </c>
      <c r="E253" s="8"/>
      <c r="F253" s="9"/>
      <c r="G253" s="8"/>
      <c r="H253" s="8"/>
      <c r="I253" s="10">
        <v>24117.040000000001</v>
      </c>
      <c r="J253" s="27">
        <v>1.721416131334761E-2</v>
      </c>
      <c r="K253" s="185"/>
      <c r="L253" s="185"/>
      <c r="M253" s="185"/>
      <c r="N253" s="185"/>
      <c r="O253" s="32"/>
      <c r="P253" s="44"/>
      <c r="Q253" s="22"/>
      <c r="R253" s="22"/>
      <c r="S253" s="32"/>
      <c r="T253" s="37">
        <f>SUM(T254:T261)</f>
        <v>24117.061000000002</v>
      </c>
      <c r="U253" s="32"/>
      <c r="V253" s="44"/>
      <c r="W253" s="32"/>
      <c r="X253" s="48"/>
      <c r="Y253" s="32"/>
      <c r="Z253" s="37">
        <f>SUM(Z254:Z261)</f>
        <v>24117.061000000002</v>
      </c>
      <c r="AA253" s="53"/>
      <c r="AB253" s="44"/>
      <c r="AC253" s="32"/>
      <c r="AD253" s="44"/>
      <c r="AE253" s="32"/>
      <c r="AF253" s="48"/>
      <c r="AG253" s="32"/>
      <c r="AH253" s="37">
        <f>SUM(AH254:AH261)</f>
        <v>24117.061000000002</v>
      </c>
      <c r="AI253" s="53"/>
      <c r="AJ253" s="44"/>
      <c r="AK253" s="32"/>
      <c r="AL253" s="44"/>
      <c r="AM253" s="32"/>
      <c r="AN253" s="48"/>
      <c r="AO253" s="32"/>
      <c r="AP253" s="37">
        <f>SUM(AP254:AP261)</f>
        <v>24117.061000000002</v>
      </c>
    </row>
    <row r="254" spans="1:42" ht="39" customHeight="1" x14ac:dyDescent="0.25">
      <c r="A254" s="92" t="s">
        <v>831</v>
      </c>
      <c r="B254" s="12" t="s">
        <v>470</v>
      </c>
      <c r="C254" s="11" t="s">
        <v>26</v>
      </c>
      <c r="D254" s="11" t="s">
        <v>471</v>
      </c>
      <c r="E254" s="13" t="s">
        <v>116</v>
      </c>
      <c r="F254" s="12">
        <v>1520</v>
      </c>
      <c r="G254" s="14">
        <v>1.97</v>
      </c>
      <c r="H254" s="14">
        <v>2.41</v>
      </c>
      <c r="I254" s="14">
        <v>3663.2</v>
      </c>
      <c r="J254" s="28">
        <v>2.6147037830121342E-3</v>
      </c>
      <c r="K254" s="186"/>
      <c r="L254" s="186"/>
      <c r="M254" s="186"/>
      <c r="N254" s="186"/>
      <c r="O254" s="30"/>
      <c r="P254" s="43">
        <f t="shared" ref="P254:P261" si="424">O254*H254</f>
        <v>0</v>
      </c>
      <c r="Q254" s="30">
        <f t="shared" ref="Q254:Q261" si="425">O254</f>
        <v>0</v>
      </c>
      <c r="R254" s="25">
        <f t="shared" ref="R254:R261" si="426">Q254/F254</f>
        <v>0</v>
      </c>
      <c r="S254" s="30">
        <f t="shared" si="391"/>
        <v>1520</v>
      </c>
      <c r="T254" s="36">
        <f t="shared" ref="T254:T261" si="427">S254*H254</f>
        <v>3663.2000000000003</v>
      </c>
      <c r="U254" s="30"/>
      <c r="V254" s="43">
        <f t="shared" ref="V254:V261" si="428">U254*H254</f>
        <v>0</v>
      </c>
      <c r="W254" s="30">
        <f t="shared" ref="W254:W261" si="429">Q254+U254</f>
        <v>0</v>
      </c>
      <c r="X254" s="47">
        <f t="shared" si="395"/>
        <v>0</v>
      </c>
      <c r="Y254" s="30">
        <f t="shared" ref="Y254:Y261" si="430">F254-W254</f>
        <v>1520</v>
      </c>
      <c r="Z254" s="36">
        <f t="shared" ref="Z254:Z261" si="431">Y254*H254</f>
        <v>3663.2000000000003</v>
      </c>
      <c r="AA254" s="52"/>
      <c r="AB254" s="43">
        <f t="shared" ref="AB254:AB261" si="432">AA254*H254</f>
        <v>0</v>
      </c>
      <c r="AC254" s="30"/>
      <c r="AD254" s="43"/>
      <c r="AE254" s="30">
        <f t="shared" ref="AE254:AE261" si="433">W254+AC254</f>
        <v>0</v>
      </c>
      <c r="AF254" s="47">
        <f t="shared" si="400"/>
        <v>0</v>
      </c>
      <c r="AG254" s="30">
        <f t="shared" ref="AG254:AG261" si="434">F254-AE254</f>
        <v>1520</v>
      </c>
      <c r="AH254" s="36">
        <f t="shared" ref="AH254:AH261" si="435">AG254*H254</f>
        <v>3663.2000000000003</v>
      </c>
      <c r="AI254" s="52"/>
      <c r="AJ254" s="43">
        <f t="shared" ref="AJ254:AJ261" si="436">AI254*T254</f>
        <v>0</v>
      </c>
      <c r="AK254" s="30"/>
      <c r="AL254" s="43"/>
      <c r="AM254" s="30">
        <f t="shared" ref="AM254:AM261" si="437">AE254+AK254</f>
        <v>0</v>
      </c>
      <c r="AN254" s="47">
        <f t="shared" si="405"/>
        <v>0</v>
      </c>
      <c r="AO254" s="30">
        <f t="shared" ref="AO254:AO261" si="438">F254-AM254</f>
        <v>1520</v>
      </c>
      <c r="AP254" s="36">
        <f t="shared" ref="AP254:AP261" si="439">AO254*H254</f>
        <v>3663.2000000000003</v>
      </c>
    </row>
    <row r="255" spans="1:42" ht="39" customHeight="1" x14ac:dyDescent="0.25">
      <c r="A255" s="92" t="s">
        <v>832</v>
      </c>
      <c r="B255" s="12" t="s">
        <v>472</v>
      </c>
      <c r="C255" s="11" t="s">
        <v>26</v>
      </c>
      <c r="D255" s="11" t="s">
        <v>473</v>
      </c>
      <c r="E255" s="13" t="s">
        <v>116</v>
      </c>
      <c r="F255" s="12">
        <v>2357.1999999999998</v>
      </c>
      <c r="G255" s="14">
        <v>2.88</v>
      </c>
      <c r="H255" s="14">
        <v>3.52</v>
      </c>
      <c r="I255" s="14">
        <v>8297.34</v>
      </c>
      <c r="J255" s="28">
        <v>5.9224411134903643E-3</v>
      </c>
      <c r="K255" s="186"/>
      <c r="L255" s="186"/>
      <c r="M255" s="186"/>
      <c r="N255" s="186"/>
      <c r="O255" s="30"/>
      <c r="P255" s="43">
        <f t="shared" si="424"/>
        <v>0</v>
      </c>
      <c r="Q255" s="30">
        <f t="shared" si="425"/>
        <v>0</v>
      </c>
      <c r="R255" s="25">
        <f t="shared" si="426"/>
        <v>0</v>
      </c>
      <c r="S255" s="30">
        <f t="shared" si="391"/>
        <v>2357.1999999999998</v>
      </c>
      <c r="T255" s="36">
        <f t="shared" si="427"/>
        <v>8297.3439999999991</v>
      </c>
      <c r="U255" s="30"/>
      <c r="V255" s="43">
        <f t="shared" si="428"/>
        <v>0</v>
      </c>
      <c r="W255" s="30">
        <f t="shared" si="429"/>
        <v>0</v>
      </c>
      <c r="X255" s="47">
        <f t="shared" si="395"/>
        <v>0</v>
      </c>
      <c r="Y255" s="30">
        <f t="shared" si="430"/>
        <v>2357.1999999999998</v>
      </c>
      <c r="Z255" s="36">
        <f t="shared" si="431"/>
        <v>8297.3439999999991</v>
      </c>
      <c r="AA255" s="52"/>
      <c r="AB255" s="43">
        <f t="shared" si="432"/>
        <v>0</v>
      </c>
      <c r="AC255" s="30"/>
      <c r="AD255" s="43"/>
      <c r="AE255" s="30">
        <f t="shared" si="433"/>
        <v>0</v>
      </c>
      <c r="AF255" s="47">
        <f t="shared" si="400"/>
        <v>0</v>
      </c>
      <c r="AG255" s="30">
        <f t="shared" si="434"/>
        <v>2357.1999999999998</v>
      </c>
      <c r="AH255" s="36">
        <f t="shared" si="435"/>
        <v>8297.3439999999991</v>
      </c>
      <c r="AI255" s="52"/>
      <c r="AJ255" s="43">
        <f t="shared" si="436"/>
        <v>0</v>
      </c>
      <c r="AK255" s="30"/>
      <c r="AL255" s="43"/>
      <c r="AM255" s="30">
        <f t="shared" si="437"/>
        <v>0</v>
      </c>
      <c r="AN255" s="47">
        <f t="shared" si="405"/>
        <v>0</v>
      </c>
      <c r="AO255" s="30">
        <f t="shared" si="438"/>
        <v>2357.1999999999998</v>
      </c>
      <c r="AP255" s="36">
        <f t="shared" si="439"/>
        <v>8297.3439999999991</v>
      </c>
    </row>
    <row r="256" spans="1:42" ht="39" customHeight="1" x14ac:dyDescent="0.25">
      <c r="A256" s="92" t="s">
        <v>833</v>
      </c>
      <c r="B256" s="12" t="s">
        <v>474</v>
      </c>
      <c r="C256" s="11" t="s">
        <v>26</v>
      </c>
      <c r="D256" s="11" t="s">
        <v>475</v>
      </c>
      <c r="E256" s="13" t="s">
        <v>116</v>
      </c>
      <c r="F256" s="12">
        <v>56.8</v>
      </c>
      <c r="G256" s="14">
        <v>16.5</v>
      </c>
      <c r="H256" s="14">
        <v>20.2</v>
      </c>
      <c r="I256" s="14">
        <v>1147.3599999999999</v>
      </c>
      <c r="J256" s="28">
        <v>8.1895788722341186E-4</v>
      </c>
      <c r="K256" s="186"/>
      <c r="L256" s="186"/>
      <c r="M256" s="186"/>
      <c r="N256" s="186"/>
      <c r="O256" s="30"/>
      <c r="P256" s="43">
        <f t="shared" si="424"/>
        <v>0</v>
      </c>
      <c r="Q256" s="30">
        <f t="shared" si="425"/>
        <v>0</v>
      </c>
      <c r="R256" s="25">
        <f t="shared" si="426"/>
        <v>0</v>
      </c>
      <c r="S256" s="30">
        <f t="shared" si="391"/>
        <v>56.8</v>
      </c>
      <c r="T256" s="36">
        <f t="shared" si="427"/>
        <v>1147.3599999999999</v>
      </c>
      <c r="U256" s="30"/>
      <c r="V256" s="43">
        <f t="shared" si="428"/>
        <v>0</v>
      </c>
      <c r="W256" s="30">
        <f t="shared" si="429"/>
        <v>0</v>
      </c>
      <c r="X256" s="47">
        <f t="shared" si="395"/>
        <v>0</v>
      </c>
      <c r="Y256" s="30">
        <f t="shared" si="430"/>
        <v>56.8</v>
      </c>
      <c r="Z256" s="36">
        <f t="shared" si="431"/>
        <v>1147.3599999999999</v>
      </c>
      <c r="AA256" s="52"/>
      <c r="AB256" s="43">
        <f t="shared" si="432"/>
        <v>0</v>
      </c>
      <c r="AC256" s="30"/>
      <c r="AD256" s="43"/>
      <c r="AE256" s="30">
        <f t="shared" si="433"/>
        <v>0</v>
      </c>
      <c r="AF256" s="47">
        <f t="shared" si="400"/>
        <v>0</v>
      </c>
      <c r="AG256" s="30">
        <f t="shared" si="434"/>
        <v>56.8</v>
      </c>
      <c r="AH256" s="36">
        <f t="shared" si="435"/>
        <v>1147.3599999999999</v>
      </c>
      <c r="AI256" s="52"/>
      <c r="AJ256" s="43">
        <f t="shared" si="436"/>
        <v>0</v>
      </c>
      <c r="AK256" s="30"/>
      <c r="AL256" s="43"/>
      <c r="AM256" s="30">
        <f t="shared" si="437"/>
        <v>0</v>
      </c>
      <c r="AN256" s="47">
        <f t="shared" si="405"/>
        <v>0</v>
      </c>
      <c r="AO256" s="30">
        <f t="shared" si="438"/>
        <v>56.8</v>
      </c>
      <c r="AP256" s="36">
        <f t="shared" si="439"/>
        <v>1147.3599999999999</v>
      </c>
    </row>
    <row r="257" spans="1:42" ht="14.25" customHeight="1" x14ac:dyDescent="0.25">
      <c r="A257" s="92" t="s">
        <v>834</v>
      </c>
      <c r="B257" s="12" t="s">
        <v>476</v>
      </c>
      <c r="C257" s="11" t="s">
        <v>26</v>
      </c>
      <c r="D257" s="11" t="s">
        <v>477</v>
      </c>
      <c r="E257" s="13" t="s">
        <v>116</v>
      </c>
      <c r="F257" s="12">
        <v>113.6</v>
      </c>
      <c r="G257" s="14">
        <v>31.8</v>
      </c>
      <c r="H257" s="14">
        <v>38.94</v>
      </c>
      <c r="I257" s="14">
        <v>4423.58</v>
      </c>
      <c r="J257" s="28">
        <v>3.1574446823697359E-3</v>
      </c>
      <c r="K257" s="186"/>
      <c r="L257" s="186"/>
      <c r="M257" s="186"/>
      <c r="N257" s="186"/>
      <c r="O257" s="30"/>
      <c r="P257" s="43">
        <f t="shared" si="424"/>
        <v>0</v>
      </c>
      <c r="Q257" s="30">
        <f t="shared" si="425"/>
        <v>0</v>
      </c>
      <c r="R257" s="25">
        <f t="shared" si="426"/>
        <v>0</v>
      </c>
      <c r="S257" s="30">
        <f t="shared" si="391"/>
        <v>113.6</v>
      </c>
      <c r="T257" s="36">
        <f t="shared" si="427"/>
        <v>4423.5839999999998</v>
      </c>
      <c r="U257" s="30"/>
      <c r="V257" s="43">
        <f t="shared" si="428"/>
        <v>0</v>
      </c>
      <c r="W257" s="30">
        <f t="shared" si="429"/>
        <v>0</v>
      </c>
      <c r="X257" s="47">
        <f t="shared" si="395"/>
        <v>0</v>
      </c>
      <c r="Y257" s="30">
        <f t="shared" si="430"/>
        <v>113.6</v>
      </c>
      <c r="Z257" s="36">
        <f t="shared" si="431"/>
        <v>4423.5839999999998</v>
      </c>
      <c r="AA257" s="52"/>
      <c r="AB257" s="43">
        <f t="shared" si="432"/>
        <v>0</v>
      </c>
      <c r="AC257" s="30"/>
      <c r="AD257" s="43"/>
      <c r="AE257" s="30">
        <f t="shared" si="433"/>
        <v>0</v>
      </c>
      <c r="AF257" s="47">
        <f t="shared" si="400"/>
        <v>0</v>
      </c>
      <c r="AG257" s="30">
        <f t="shared" si="434"/>
        <v>113.6</v>
      </c>
      <c r="AH257" s="36">
        <f t="shared" si="435"/>
        <v>4423.5839999999998</v>
      </c>
      <c r="AI257" s="52"/>
      <c r="AJ257" s="43">
        <f t="shared" si="436"/>
        <v>0</v>
      </c>
      <c r="AK257" s="30"/>
      <c r="AL257" s="43"/>
      <c r="AM257" s="30">
        <f t="shared" si="437"/>
        <v>0</v>
      </c>
      <c r="AN257" s="47">
        <f t="shared" si="405"/>
        <v>0</v>
      </c>
      <c r="AO257" s="30">
        <f t="shared" si="438"/>
        <v>113.6</v>
      </c>
      <c r="AP257" s="36">
        <f t="shared" si="439"/>
        <v>4423.5839999999998</v>
      </c>
    </row>
    <row r="258" spans="1:42" ht="14.25" customHeight="1" x14ac:dyDescent="0.25">
      <c r="A258" s="92" t="s">
        <v>835</v>
      </c>
      <c r="B258" s="12" t="s">
        <v>478</v>
      </c>
      <c r="C258" s="11" t="s">
        <v>29</v>
      </c>
      <c r="D258" s="11" t="s">
        <v>479</v>
      </c>
      <c r="E258" s="13" t="s">
        <v>116</v>
      </c>
      <c r="F258" s="12">
        <v>12.9</v>
      </c>
      <c r="G258" s="14">
        <v>49.18</v>
      </c>
      <c r="H258" s="14">
        <v>60.23</v>
      </c>
      <c r="I258" s="14">
        <v>776.96</v>
      </c>
      <c r="J258" s="28">
        <v>5.5457530335474656E-4</v>
      </c>
      <c r="K258" s="186"/>
      <c r="L258" s="186"/>
      <c r="M258" s="186"/>
      <c r="N258" s="186"/>
      <c r="O258" s="30"/>
      <c r="P258" s="43">
        <f t="shared" si="424"/>
        <v>0</v>
      </c>
      <c r="Q258" s="30">
        <f t="shared" si="425"/>
        <v>0</v>
      </c>
      <c r="R258" s="25">
        <f t="shared" si="426"/>
        <v>0</v>
      </c>
      <c r="S258" s="30">
        <f t="shared" si="391"/>
        <v>12.9</v>
      </c>
      <c r="T258" s="36">
        <f t="shared" si="427"/>
        <v>776.96699999999998</v>
      </c>
      <c r="U258" s="30"/>
      <c r="V258" s="43">
        <f t="shared" si="428"/>
        <v>0</v>
      </c>
      <c r="W258" s="30">
        <f t="shared" si="429"/>
        <v>0</v>
      </c>
      <c r="X258" s="47">
        <f t="shared" si="395"/>
        <v>0</v>
      </c>
      <c r="Y258" s="30">
        <f t="shared" si="430"/>
        <v>12.9</v>
      </c>
      <c r="Z258" s="36">
        <f t="shared" si="431"/>
        <v>776.96699999999998</v>
      </c>
      <c r="AA258" s="52"/>
      <c r="AB258" s="43">
        <f t="shared" si="432"/>
        <v>0</v>
      </c>
      <c r="AC258" s="30"/>
      <c r="AD258" s="43"/>
      <c r="AE258" s="30">
        <f t="shared" si="433"/>
        <v>0</v>
      </c>
      <c r="AF258" s="47">
        <f t="shared" si="400"/>
        <v>0</v>
      </c>
      <c r="AG258" s="30">
        <f t="shared" si="434"/>
        <v>12.9</v>
      </c>
      <c r="AH258" s="36">
        <f t="shared" si="435"/>
        <v>776.96699999999998</v>
      </c>
      <c r="AI258" s="52"/>
      <c r="AJ258" s="43">
        <f t="shared" si="436"/>
        <v>0</v>
      </c>
      <c r="AK258" s="30"/>
      <c r="AL258" s="43"/>
      <c r="AM258" s="30">
        <f t="shared" si="437"/>
        <v>0</v>
      </c>
      <c r="AN258" s="47">
        <f t="shared" si="405"/>
        <v>0</v>
      </c>
      <c r="AO258" s="30">
        <f t="shared" si="438"/>
        <v>12.9</v>
      </c>
      <c r="AP258" s="36">
        <f t="shared" si="439"/>
        <v>776.96699999999998</v>
      </c>
    </row>
    <row r="259" spans="1:42" ht="14.25" customHeight="1" x14ac:dyDescent="0.25">
      <c r="A259" s="92" t="s">
        <v>836</v>
      </c>
      <c r="B259" s="12" t="s">
        <v>480</v>
      </c>
      <c r="C259" s="11" t="s">
        <v>29</v>
      </c>
      <c r="D259" s="11" t="s">
        <v>481</v>
      </c>
      <c r="E259" s="13" t="s">
        <v>116</v>
      </c>
      <c r="F259" s="12">
        <v>51.6</v>
      </c>
      <c r="G259" s="14">
        <v>78.02</v>
      </c>
      <c r="H259" s="14">
        <v>95.55</v>
      </c>
      <c r="I259" s="14">
        <v>4930.38</v>
      </c>
      <c r="J259" s="28">
        <v>3.5191862955032118E-3</v>
      </c>
      <c r="K259" s="186"/>
      <c r="L259" s="186"/>
      <c r="M259" s="186"/>
      <c r="N259" s="186"/>
      <c r="O259" s="30"/>
      <c r="P259" s="43">
        <f t="shared" si="424"/>
        <v>0</v>
      </c>
      <c r="Q259" s="30">
        <f t="shared" si="425"/>
        <v>0</v>
      </c>
      <c r="R259" s="25">
        <f t="shared" si="426"/>
        <v>0</v>
      </c>
      <c r="S259" s="30">
        <f t="shared" si="391"/>
        <v>51.6</v>
      </c>
      <c r="T259" s="36">
        <f t="shared" si="427"/>
        <v>4930.38</v>
      </c>
      <c r="U259" s="30"/>
      <c r="V259" s="43">
        <f t="shared" si="428"/>
        <v>0</v>
      </c>
      <c r="W259" s="30">
        <f t="shared" si="429"/>
        <v>0</v>
      </c>
      <c r="X259" s="47">
        <f t="shared" si="395"/>
        <v>0</v>
      </c>
      <c r="Y259" s="30">
        <f t="shared" si="430"/>
        <v>51.6</v>
      </c>
      <c r="Z259" s="36">
        <f t="shared" si="431"/>
        <v>4930.38</v>
      </c>
      <c r="AA259" s="52"/>
      <c r="AB259" s="43">
        <f t="shared" si="432"/>
        <v>0</v>
      </c>
      <c r="AC259" s="30"/>
      <c r="AD259" s="43"/>
      <c r="AE259" s="30">
        <f t="shared" si="433"/>
        <v>0</v>
      </c>
      <c r="AF259" s="47">
        <f t="shared" si="400"/>
        <v>0</v>
      </c>
      <c r="AG259" s="30">
        <f t="shared" si="434"/>
        <v>51.6</v>
      </c>
      <c r="AH259" s="36">
        <f t="shared" si="435"/>
        <v>4930.38</v>
      </c>
      <c r="AI259" s="52"/>
      <c r="AJ259" s="43">
        <f t="shared" si="436"/>
        <v>0</v>
      </c>
      <c r="AK259" s="30"/>
      <c r="AL259" s="43"/>
      <c r="AM259" s="30">
        <f t="shared" si="437"/>
        <v>0</v>
      </c>
      <c r="AN259" s="47">
        <f t="shared" si="405"/>
        <v>0</v>
      </c>
      <c r="AO259" s="30">
        <f t="shared" si="438"/>
        <v>51.6</v>
      </c>
      <c r="AP259" s="36">
        <f t="shared" si="439"/>
        <v>4930.38</v>
      </c>
    </row>
    <row r="260" spans="1:42" ht="39" customHeight="1" x14ac:dyDescent="0.25">
      <c r="A260" s="92" t="s">
        <v>837</v>
      </c>
      <c r="B260" s="12" t="s">
        <v>482</v>
      </c>
      <c r="C260" s="11" t="s">
        <v>26</v>
      </c>
      <c r="D260" s="11" t="s">
        <v>483</v>
      </c>
      <c r="E260" s="13" t="s">
        <v>116</v>
      </c>
      <c r="F260" s="12">
        <v>52.6</v>
      </c>
      <c r="G260" s="14">
        <v>5.48</v>
      </c>
      <c r="H260" s="14">
        <v>6.71</v>
      </c>
      <c r="I260" s="14">
        <v>352.94</v>
      </c>
      <c r="J260" s="28">
        <v>2.5192005710206997E-4</v>
      </c>
      <c r="K260" s="186"/>
      <c r="L260" s="186"/>
      <c r="M260" s="186"/>
      <c r="N260" s="186"/>
      <c r="O260" s="30"/>
      <c r="P260" s="43">
        <f t="shared" si="424"/>
        <v>0</v>
      </c>
      <c r="Q260" s="30">
        <f t="shared" si="425"/>
        <v>0</v>
      </c>
      <c r="R260" s="25">
        <f t="shared" si="426"/>
        <v>0</v>
      </c>
      <c r="S260" s="30">
        <f t="shared" si="391"/>
        <v>52.6</v>
      </c>
      <c r="T260" s="36">
        <f t="shared" si="427"/>
        <v>352.94600000000003</v>
      </c>
      <c r="U260" s="30"/>
      <c r="V260" s="43">
        <f t="shared" si="428"/>
        <v>0</v>
      </c>
      <c r="W260" s="30">
        <f t="shared" si="429"/>
        <v>0</v>
      </c>
      <c r="X260" s="47">
        <f t="shared" si="395"/>
        <v>0</v>
      </c>
      <c r="Y260" s="30">
        <f t="shared" si="430"/>
        <v>52.6</v>
      </c>
      <c r="Z260" s="36">
        <f t="shared" si="431"/>
        <v>352.94600000000003</v>
      </c>
      <c r="AA260" s="52"/>
      <c r="AB260" s="43">
        <f t="shared" si="432"/>
        <v>0</v>
      </c>
      <c r="AC260" s="30"/>
      <c r="AD260" s="43"/>
      <c r="AE260" s="30">
        <f t="shared" si="433"/>
        <v>0</v>
      </c>
      <c r="AF260" s="47">
        <f t="shared" si="400"/>
        <v>0</v>
      </c>
      <c r="AG260" s="30">
        <f t="shared" si="434"/>
        <v>52.6</v>
      </c>
      <c r="AH260" s="36">
        <f t="shared" si="435"/>
        <v>352.94600000000003</v>
      </c>
      <c r="AI260" s="52"/>
      <c r="AJ260" s="43">
        <f t="shared" si="436"/>
        <v>0</v>
      </c>
      <c r="AK260" s="30"/>
      <c r="AL260" s="43"/>
      <c r="AM260" s="30">
        <f t="shared" si="437"/>
        <v>0</v>
      </c>
      <c r="AN260" s="47">
        <f t="shared" si="405"/>
        <v>0</v>
      </c>
      <c r="AO260" s="30">
        <f t="shared" si="438"/>
        <v>52.6</v>
      </c>
      <c r="AP260" s="36">
        <f t="shared" si="439"/>
        <v>352.94600000000003</v>
      </c>
    </row>
    <row r="261" spans="1:42" ht="14.25" customHeight="1" x14ac:dyDescent="0.25">
      <c r="A261" s="92" t="s">
        <v>838</v>
      </c>
      <c r="B261" s="12" t="s">
        <v>484</v>
      </c>
      <c r="C261" s="11" t="s">
        <v>29</v>
      </c>
      <c r="D261" s="11" t="s">
        <v>485</v>
      </c>
      <c r="E261" s="13" t="s">
        <v>116</v>
      </c>
      <c r="F261" s="12">
        <v>53.6</v>
      </c>
      <c r="G261" s="14">
        <v>8.01</v>
      </c>
      <c r="H261" s="14">
        <v>9.8000000000000007</v>
      </c>
      <c r="I261" s="14">
        <v>525.28</v>
      </c>
      <c r="J261" s="28">
        <v>3.7493219129193435E-4</v>
      </c>
      <c r="K261" s="186"/>
      <c r="L261" s="186"/>
      <c r="M261" s="186"/>
      <c r="N261" s="186"/>
      <c r="O261" s="30"/>
      <c r="P261" s="43">
        <f t="shared" si="424"/>
        <v>0</v>
      </c>
      <c r="Q261" s="30">
        <f t="shared" si="425"/>
        <v>0</v>
      </c>
      <c r="R261" s="25">
        <f t="shared" si="426"/>
        <v>0</v>
      </c>
      <c r="S261" s="30">
        <f t="shared" si="391"/>
        <v>53.6</v>
      </c>
      <c r="T261" s="36">
        <f t="shared" si="427"/>
        <v>525.28000000000009</v>
      </c>
      <c r="U261" s="30"/>
      <c r="V261" s="43">
        <f t="shared" si="428"/>
        <v>0</v>
      </c>
      <c r="W261" s="30">
        <f t="shared" si="429"/>
        <v>0</v>
      </c>
      <c r="X261" s="47">
        <f t="shared" si="395"/>
        <v>0</v>
      </c>
      <c r="Y261" s="30">
        <f t="shared" si="430"/>
        <v>53.6</v>
      </c>
      <c r="Z261" s="36">
        <f t="shared" si="431"/>
        <v>525.28000000000009</v>
      </c>
      <c r="AA261" s="52"/>
      <c r="AB261" s="43">
        <f t="shared" si="432"/>
        <v>0</v>
      </c>
      <c r="AC261" s="30"/>
      <c r="AD261" s="43"/>
      <c r="AE261" s="30">
        <f t="shared" si="433"/>
        <v>0</v>
      </c>
      <c r="AF261" s="47">
        <f t="shared" si="400"/>
        <v>0</v>
      </c>
      <c r="AG261" s="30">
        <f t="shared" si="434"/>
        <v>53.6</v>
      </c>
      <c r="AH261" s="36">
        <f t="shared" si="435"/>
        <v>525.28000000000009</v>
      </c>
      <c r="AI261" s="52"/>
      <c r="AJ261" s="43">
        <f t="shared" si="436"/>
        <v>0</v>
      </c>
      <c r="AK261" s="30"/>
      <c r="AL261" s="43"/>
      <c r="AM261" s="30">
        <f t="shared" si="437"/>
        <v>0</v>
      </c>
      <c r="AN261" s="47">
        <f t="shared" si="405"/>
        <v>0</v>
      </c>
      <c r="AO261" s="30">
        <f t="shared" si="438"/>
        <v>53.6</v>
      </c>
      <c r="AP261" s="36">
        <f t="shared" si="439"/>
        <v>525.28000000000009</v>
      </c>
    </row>
    <row r="262" spans="1:42" ht="14.25" customHeight="1" x14ac:dyDescent="0.25">
      <c r="A262" s="91" t="s">
        <v>486</v>
      </c>
      <c r="B262" s="8"/>
      <c r="C262" s="8"/>
      <c r="D262" s="8" t="s">
        <v>487</v>
      </c>
      <c r="E262" s="8"/>
      <c r="F262" s="9"/>
      <c r="G262" s="8"/>
      <c r="H262" s="8"/>
      <c r="I262" s="10">
        <v>12008.46</v>
      </c>
      <c r="J262" s="27">
        <v>8.5713490364025691E-3</v>
      </c>
      <c r="K262" s="185"/>
      <c r="L262" s="185"/>
      <c r="M262" s="185"/>
      <c r="N262" s="185"/>
      <c r="O262" s="32"/>
      <c r="P262" s="44"/>
      <c r="Q262" s="22"/>
      <c r="R262" s="22"/>
      <c r="S262" s="32"/>
      <c r="T262" s="37">
        <f>SUM(T263:T273)</f>
        <v>12008.460000000001</v>
      </c>
      <c r="U262" s="32"/>
      <c r="V262" s="44"/>
      <c r="W262" s="32"/>
      <c r="X262" s="48"/>
      <c r="Y262" s="32"/>
      <c r="Z262" s="37">
        <f>SUM(Z263:Z273)</f>
        <v>12008.460000000001</v>
      </c>
      <c r="AA262" s="53"/>
      <c r="AB262" s="44"/>
      <c r="AC262" s="32"/>
      <c r="AD262" s="44"/>
      <c r="AE262" s="32"/>
      <c r="AF262" s="48"/>
      <c r="AG262" s="32"/>
      <c r="AH262" s="37">
        <f>SUM(AH263:AH273)</f>
        <v>12008.460000000001</v>
      </c>
      <c r="AI262" s="53"/>
      <c r="AJ262" s="44"/>
      <c r="AK262" s="32"/>
      <c r="AL262" s="44"/>
      <c r="AM262" s="32"/>
      <c r="AN262" s="48"/>
      <c r="AO262" s="32"/>
      <c r="AP262" s="37">
        <f>SUM(AP263:AP273)</f>
        <v>12008.460000000001</v>
      </c>
    </row>
    <row r="263" spans="1:42" ht="14.25" customHeight="1" x14ac:dyDescent="0.25">
      <c r="A263" s="92" t="s">
        <v>839</v>
      </c>
      <c r="B263" s="12" t="s">
        <v>488</v>
      </c>
      <c r="C263" s="11" t="s">
        <v>26</v>
      </c>
      <c r="D263" s="11" t="s">
        <v>489</v>
      </c>
      <c r="E263" s="13" t="s">
        <v>31</v>
      </c>
      <c r="F263" s="12">
        <v>56</v>
      </c>
      <c r="G263" s="14">
        <v>20.29</v>
      </c>
      <c r="H263" s="14">
        <v>24.84</v>
      </c>
      <c r="I263" s="14">
        <v>1391.04</v>
      </c>
      <c r="J263" s="28">
        <v>9.9289079229122066E-4</v>
      </c>
      <c r="K263" s="186"/>
      <c r="L263" s="186"/>
      <c r="M263" s="186"/>
      <c r="N263" s="186"/>
      <c r="O263" s="30"/>
      <c r="P263" s="43">
        <f t="shared" ref="P263:P273" si="440">O263*H263</f>
        <v>0</v>
      </c>
      <c r="Q263" s="30">
        <f t="shared" ref="Q263:Q273" si="441">O263</f>
        <v>0</v>
      </c>
      <c r="R263" s="25">
        <f t="shared" ref="R263:R273" si="442">Q263/F263</f>
        <v>0</v>
      </c>
      <c r="S263" s="30">
        <f t="shared" si="391"/>
        <v>56</v>
      </c>
      <c r="T263" s="36">
        <f t="shared" ref="T263:T273" si="443">S263*H263</f>
        <v>1391.04</v>
      </c>
      <c r="U263" s="30"/>
      <c r="V263" s="43">
        <f t="shared" ref="V263:V273" si="444">U263*H263</f>
        <v>0</v>
      </c>
      <c r="W263" s="30">
        <f t="shared" ref="W263:W273" si="445">Q263+U263</f>
        <v>0</v>
      </c>
      <c r="X263" s="47">
        <f t="shared" si="395"/>
        <v>0</v>
      </c>
      <c r="Y263" s="30">
        <f t="shared" ref="Y263:Y273" si="446">F263-W263</f>
        <v>56</v>
      </c>
      <c r="Z263" s="36">
        <f t="shared" ref="Z263:Z273" si="447">Y263*H263</f>
        <v>1391.04</v>
      </c>
      <c r="AA263" s="52"/>
      <c r="AB263" s="43">
        <f t="shared" ref="AB263:AB273" si="448">AA263*H263</f>
        <v>0</v>
      </c>
      <c r="AC263" s="30"/>
      <c r="AD263" s="43"/>
      <c r="AE263" s="30">
        <f t="shared" ref="AE263:AE273" si="449">W263+AC263</f>
        <v>0</v>
      </c>
      <c r="AF263" s="47">
        <f t="shared" si="400"/>
        <v>0</v>
      </c>
      <c r="AG263" s="30">
        <f t="shared" ref="AG263:AG273" si="450">F263-AE263</f>
        <v>56</v>
      </c>
      <c r="AH263" s="36">
        <f t="shared" ref="AH263:AH273" si="451">AG263*H263</f>
        <v>1391.04</v>
      </c>
      <c r="AI263" s="52"/>
      <c r="AJ263" s="43">
        <f t="shared" ref="AJ263:AJ273" si="452">AI263*T263</f>
        <v>0</v>
      </c>
      <c r="AK263" s="30"/>
      <c r="AL263" s="43"/>
      <c r="AM263" s="30">
        <f t="shared" ref="AM263:AM273" si="453">AE263+AK263</f>
        <v>0</v>
      </c>
      <c r="AN263" s="47">
        <f t="shared" si="405"/>
        <v>0</v>
      </c>
      <c r="AO263" s="30">
        <f t="shared" ref="AO263:AO273" si="454">F263-AM263</f>
        <v>56</v>
      </c>
      <c r="AP263" s="36">
        <f t="shared" ref="AP263:AP273" si="455">AO263*H263</f>
        <v>1391.04</v>
      </c>
    </row>
    <row r="264" spans="1:42" ht="14.25" customHeight="1" x14ac:dyDescent="0.25">
      <c r="A264" s="92" t="s">
        <v>840</v>
      </c>
      <c r="B264" s="12" t="s">
        <v>490</v>
      </c>
      <c r="C264" s="11" t="s">
        <v>26</v>
      </c>
      <c r="D264" s="11" t="s">
        <v>491</v>
      </c>
      <c r="E264" s="13" t="s">
        <v>31</v>
      </c>
      <c r="F264" s="12">
        <v>4</v>
      </c>
      <c r="G264" s="14">
        <v>21.73</v>
      </c>
      <c r="H264" s="14">
        <v>26.61</v>
      </c>
      <c r="I264" s="14">
        <v>106.44</v>
      </c>
      <c r="J264" s="28">
        <v>7.5974304068522478E-5</v>
      </c>
      <c r="K264" s="186"/>
      <c r="L264" s="186"/>
      <c r="M264" s="186"/>
      <c r="N264" s="186"/>
      <c r="O264" s="30"/>
      <c r="P264" s="43">
        <f t="shared" si="440"/>
        <v>0</v>
      </c>
      <c r="Q264" s="30">
        <f t="shared" si="441"/>
        <v>0</v>
      </c>
      <c r="R264" s="25">
        <f t="shared" si="442"/>
        <v>0</v>
      </c>
      <c r="S264" s="30">
        <f t="shared" si="391"/>
        <v>4</v>
      </c>
      <c r="T264" s="36">
        <f t="shared" si="443"/>
        <v>106.44</v>
      </c>
      <c r="U264" s="30"/>
      <c r="V264" s="43">
        <f t="shared" si="444"/>
        <v>0</v>
      </c>
      <c r="W264" s="30">
        <f t="shared" si="445"/>
        <v>0</v>
      </c>
      <c r="X264" s="47">
        <f t="shared" si="395"/>
        <v>0</v>
      </c>
      <c r="Y264" s="30">
        <f t="shared" si="446"/>
        <v>4</v>
      </c>
      <c r="Z264" s="36">
        <f t="shared" si="447"/>
        <v>106.44</v>
      </c>
      <c r="AA264" s="52"/>
      <c r="AB264" s="43">
        <f t="shared" si="448"/>
        <v>0</v>
      </c>
      <c r="AC264" s="30"/>
      <c r="AD264" s="43"/>
      <c r="AE264" s="30">
        <f t="shared" si="449"/>
        <v>0</v>
      </c>
      <c r="AF264" s="47">
        <f t="shared" si="400"/>
        <v>0</v>
      </c>
      <c r="AG264" s="30">
        <f t="shared" si="450"/>
        <v>4</v>
      </c>
      <c r="AH264" s="36">
        <f t="shared" si="451"/>
        <v>106.44</v>
      </c>
      <c r="AI264" s="52"/>
      <c r="AJ264" s="43">
        <f t="shared" si="452"/>
        <v>0</v>
      </c>
      <c r="AK264" s="30"/>
      <c r="AL264" s="43"/>
      <c r="AM264" s="30">
        <f t="shared" si="453"/>
        <v>0</v>
      </c>
      <c r="AN264" s="47">
        <f t="shared" si="405"/>
        <v>0</v>
      </c>
      <c r="AO264" s="30">
        <f t="shared" si="454"/>
        <v>4</v>
      </c>
      <c r="AP264" s="36">
        <f t="shared" si="455"/>
        <v>106.44</v>
      </c>
    </row>
    <row r="265" spans="1:42" ht="14.25" customHeight="1" x14ac:dyDescent="0.25">
      <c r="A265" s="92" t="s">
        <v>841</v>
      </c>
      <c r="B265" s="12" t="s">
        <v>492</v>
      </c>
      <c r="C265" s="11" t="s">
        <v>26</v>
      </c>
      <c r="D265" s="11" t="s">
        <v>493</v>
      </c>
      <c r="E265" s="13" t="s">
        <v>31</v>
      </c>
      <c r="F265" s="12">
        <v>7</v>
      </c>
      <c r="G265" s="14">
        <v>19.34</v>
      </c>
      <c r="H265" s="14">
        <v>23.68</v>
      </c>
      <c r="I265" s="14">
        <v>165.76</v>
      </c>
      <c r="J265" s="28">
        <v>1.1831548893647394E-4</v>
      </c>
      <c r="K265" s="186"/>
      <c r="L265" s="186"/>
      <c r="M265" s="186"/>
      <c r="N265" s="186"/>
      <c r="O265" s="30"/>
      <c r="P265" s="43">
        <f t="shared" si="440"/>
        <v>0</v>
      </c>
      <c r="Q265" s="30">
        <f t="shared" si="441"/>
        <v>0</v>
      </c>
      <c r="R265" s="25">
        <f t="shared" si="442"/>
        <v>0</v>
      </c>
      <c r="S265" s="30">
        <f t="shared" si="391"/>
        <v>7</v>
      </c>
      <c r="T265" s="36">
        <f t="shared" si="443"/>
        <v>165.76</v>
      </c>
      <c r="U265" s="30"/>
      <c r="V265" s="43">
        <f t="shared" si="444"/>
        <v>0</v>
      </c>
      <c r="W265" s="30">
        <f t="shared" si="445"/>
        <v>0</v>
      </c>
      <c r="X265" s="47">
        <f t="shared" si="395"/>
        <v>0</v>
      </c>
      <c r="Y265" s="30">
        <f t="shared" si="446"/>
        <v>7</v>
      </c>
      <c r="Z265" s="36">
        <f t="shared" si="447"/>
        <v>165.76</v>
      </c>
      <c r="AA265" s="52"/>
      <c r="AB265" s="43">
        <f t="shared" si="448"/>
        <v>0</v>
      </c>
      <c r="AC265" s="30"/>
      <c r="AD265" s="43"/>
      <c r="AE265" s="30">
        <f t="shared" si="449"/>
        <v>0</v>
      </c>
      <c r="AF265" s="47">
        <f t="shared" si="400"/>
        <v>0</v>
      </c>
      <c r="AG265" s="30">
        <f t="shared" si="450"/>
        <v>7</v>
      </c>
      <c r="AH265" s="36">
        <f t="shared" si="451"/>
        <v>165.76</v>
      </c>
      <c r="AI265" s="52"/>
      <c r="AJ265" s="43">
        <f t="shared" si="452"/>
        <v>0</v>
      </c>
      <c r="AK265" s="30"/>
      <c r="AL265" s="43"/>
      <c r="AM265" s="30">
        <f t="shared" si="453"/>
        <v>0</v>
      </c>
      <c r="AN265" s="47">
        <f t="shared" si="405"/>
        <v>0</v>
      </c>
      <c r="AO265" s="30">
        <f t="shared" si="454"/>
        <v>7</v>
      </c>
      <c r="AP265" s="36">
        <f t="shared" si="455"/>
        <v>165.76</v>
      </c>
    </row>
    <row r="266" spans="1:42" ht="14.25" customHeight="1" x14ac:dyDescent="0.25">
      <c r="A266" s="92" t="s">
        <v>842</v>
      </c>
      <c r="B266" s="12" t="s">
        <v>494</v>
      </c>
      <c r="C266" s="11" t="s">
        <v>26</v>
      </c>
      <c r="D266" s="11" t="s">
        <v>495</v>
      </c>
      <c r="E266" s="13" t="s">
        <v>31</v>
      </c>
      <c r="F266" s="12">
        <v>1</v>
      </c>
      <c r="G266" s="14">
        <v>29.48</v>
      </c>
      <c r="H266" s="14">
        <v>36.1</v>
      </c>
      <c r="I266" s="14">
        <v>36.1</v>
      </c>
      <c r="J266" s="28">
        <v>2.5767309064953605E-5</v>
      </c>
      <c r="K266" s="186"/>
      <c r="L266" s="186"/>
      <c r="M266" s="186"/>
      <c r="N266" s="186"/>
      <c r="O266" s="30"/>
      <c r="P266" s="43">
        <f t="shared" si="440"/>
        <v>0</v>
      </c>
      <c r="Q266" s="30">
        <f t="shared" si="441"/>
        <v>0</v>
      </c>
      <c r="R266" s="25">
        <f t="shared" si="442"/>
        <v>0</v>
      </c>
      <c r="S266" s="30">
        <f t="shared" si="391"/>
        <v>1</v>
      </c>
      <c r="T266" s="36">
        <f t="shared" si="443"/>
        <v>36.1</v>
      </c>
      <c r="U266" s="30"/>
      <c r="V266" s="43">
        <f t="shared" si="444"/>
        <v>0</v>
      </c>
      <c r="W266" s="30">
        <f t="shared" si="445"/>
        <v>0</v>
      </c>
      <c r="X266" s="47">
        <f t="shared" si="395"/>
        <v>0</v>
      </c>
      <c r="Y266" s="30">
        <f t="shared" si="446"/>
        <v>1</v>
      </c>
      <c r="Z266" s="36">
        <f t="shared" si="447"/>
        <v>36.1</v>
      </c>
      <c r="AA266" s="52"/>
      <c r="AB266" s="43">
        <f t="shared" si="448"/>
        <v>0</v>
      </c>
      <c r="AC266" s="30"/>
      <c r="AD266" s="43"/>
      <c r="AE266" s="30">
        <f t="shared" si="449"/>
        <v>0</v>
      </c>
      <c r="AF266" s="47">
        <f t="shared" si="400"/>
        <v>0</v>
      </c>
      <c r="AG266" s="30">
        <f t="shared" si="450"/>
        <v>1</v>
      </c>
      <c r="AH266" s="36">
        <f t="shared" si="451"/>
        <v>36.1</v>
      </c>
      <c r="AI266" s="52"/>
      <c r="AJ266" s="43">
        <f t="shared" si="452"/>
        <v>0</v>
      </c>
      <c r="AK266" s="30"/>
      <c r="AL266" s="43"/>
      <c r="AM266" s="30">
        <f t="shared" si="453"/>
        <v>0</v>
      </c>
      <c r="AN266" s="47">
        <f t="shared" si="405"/>
        <v>0</v>
      </c>
      <c r="AO266" s="30">
        <f t="shared" si="454"/>
        <v>1</v>
      </c>
      <c r="AP266" s="36">
        <f t="shared" si="455"/>
        <v>36.1</v>
      </c>
    </row>
    <row r="267" spans="1:42" ht="14.25" customHeight="1" x14ac:dyDescent="0.25">
      <c r="A267" s="92" t="s">
        <v>843</v>
      </c>
      <c r="B267" s="12" t="s">
        <v>496</v>
      </c>
      <c r="C267" s="11" t="s">
        <v>26</v>
      </c>
      <c r="D267" s="11" t="s">
        <v>497</v>
      </c>
      <c r="E267" s="13" t="s">
        <v>31</v>
      </c>
      <c r="F267" s="12">
        <v>11</v>
      </c>
      <c r="G267" s="14">
        <v>39.619999999999997</v>
      </c>
      <c r="H267" s="14">
        <v>48.52</v>
      </c>
      <c r="I267" s="14">
        <v>533.72</v>
      </c>
      <c r="J267" s="28">
        <v>3.809564596716631E-4</v>
      </c>
      <c r="K267" s="186"/>
      <c r="L267" s="186"/>
      <c r="M267" s="186"/>
      <c r="N267" s="186"/>
      <c r="O267" s="30"/>
      <c r="P267" s="43">
        <f t="shared" si="440"/>
        <v>0</v>
      </c>
      <c r="Q267" s="30">
        <f t="shared" si="441"/>
        <v>0</v>
      </c>
      <c r="R267" s="25">
        <f t="shared" si="442"/>
        <v>0</v>
      </c>
      <c r="S267" s="30">
        <f t="shared" si="391"/>
        <v>11</v>
      </c>
      <c r="T267" s="36">
        <f t="shared" si="443"/>
        <v>533.72</v>
      </c>
      <c r="U267" s="30"/>
      <c r="V267" s="43">
        <f t="shared" si="444"/>
        <v>0</v>
      </c>
      <c r="W267" s="30">
        <f t="shared" si="445"/>
        <v>0</v>
      </c>
      <c r="X267" s="47">
        <f t="shared" si="395"/>
        <v>0</v>
      </c>
      <c r="Y267" s="30">
        <f t="shared" si="446"/>
        <v>11</v>
      </c>
      <c r="Z267" s="36">
        <f t="shared" si="447"/>
        <v>533.72</v>
      </c>
      <c r="AA267" s="52"/>
      <c r="AB267" s="43">
        <f t="shared" si="448"/>
        <v>0</v>
      </c>
      <c r="AC267" s="30"/>
      <c r="AD267" s="43"/>
      <c r="AE267" s="30">
        <f t="shared" si="449"/>
        <v>0</v>
      </c>
      <c r="AF267" s="47">
        <f t="shared" si="400"/>
        <v>0</v>
      </c>
      <c r="AG267" s="30">
        <f t="shared" si="450"/>
        <v>11</v>
      </c>
      <c r="AH267" s="36">
        <f t="shared" si="451"/>
        <v>533.72</v>
      </c>
      <c r="AI267" s="52"/>
      <c r="AJ267" s="43">
        <f t="shared" si="452"/>
        <v>0</v>
      </c>
      <c r="AK267" s="30"/>
      <c r="AL267" s="43"/>
      <c r="AM267" s="30">
        <f t="shared" si="453"/>
        <v>0</v>
      </c>
      <c r="AN267" s="47">
        <f t="shared" si="405"/>
        <v>0</v>
      </c>
      <c r="AO267" s="30">
        <f t="shared" si="454"/>
        <v>11</v>
      </c>
      <c r="AP267" s="36">
        <f t="shared" si="455"/>
        <v>533.72</v>
      </c>
    </row>
    <row r="268" spans="1:42" ht="39" customHeight="1" x14ac:dyDescent="0.25">
      <c r="A268" s="92" t="s">
        <v>844</v>
      </c>
      <c r="B268" s="12" t="s">
        <v>498</v>
      </c>
      <c r="C268" s="11" t="s">
        <v>26</v>
      </c>
      <c r="D268" s="11" t="s">
        <v>499</v>
      </c>
      <c r="E268" s="13" t="s">
        <v>31</v>
      </c>
      <c r="F268" s="12">
        <v>3</v>
      </c>
      <c r="G268" s="14">
        <v>32.89</v>
      </c>
      <c r="H268" s="14">
        <v>40.28</v>
      </c>
      <c r="I268" s="14">
        <v>120.84</v>
      </c>
      <c r="J268" s="28">
        <v>8.6252676659528905E-5</v>
      </c>
      <c r="K268" s="186"/>
      <c r="L268" s="186"/>
      <c r="M268" s="186"/>
      <c r="N268" s="186"/>
      <c r="O268" s="30"/>
      <c r="P268" s="43">
        <f t="shared" si="440"/>
        <v>0</v>
      </c>
      <c r="Q268" s="30">
        <f t="shared" si="441"/>
        <v>0</v>
      </c>
      <c r="R268" s="25">
        <f t="shared" si="442"/>
        <v>0</v>
      </c>
      <c r="S268" s="30">
        <f t="shared" si="391"/>
        <v>3</v>
      </c>
      <c r="T268" s="36">
        <f t="shared" si="443"/>
        <v>120.84</v>
      </c>
      <c r="U268" s="30"/>
      <c r="V268" s="43">
        <f t="shared" si="444"/>
        <v>0</v>
      </c>
      <c r="W268" s="30">
        <f t="shared" si="445"/>
        <v>0</v>
      </c>
      <c r="X268" s="47">
        <f t="shared" si="395"/>
        <v>0</v>
      </c>
      <c r="Y268" s="30">
        <f t="shared" si="446"/>
        <v>3</v>
      </c>
      <c r="Z268" s="36">
        <f t="shared" si="447"/>
        <v>120.84</v>
      </c>
      <c r="AA268" s="52"/>
      <c r="AB268" s="43">
        <f t="shared" si="448"/>
        <v>0</v>
      </c>
      <c r="AC268" s="30"/>
      <c r="AD268" s="43"/>
      <c r="AE268" s="30">
        <f t="shared" si="449"/>
        <v>0</v>
      </c>
      <c r="AF268" s="47">
        <f t="shared" si="400"/>
        <v>0</v>
      </c>
      <c r="AG268" s="30">
        <f t="shared" si="450"/>
        <v>3</v>
      </c>
      <c r="AH268" s="36">
        <f t="shared" si="451"/>
        <v>120.84</v>
      </c>
      <c r="AI268" s="52"/>
      <c r="AJ268" s="43">
        <f t="shared" si="452"/>
        <v>0</v>
      </c>
      <c r="AK268" s="30"/>
      <c r="AL268" s="43"/>
      <c r="AM268" s="30">
        <f t="shared" si="453"/>
        <v>0</v>
      </c>
      <c r="AN268" s="47">
        <f t="shared" si="405"/>
        <v>0</v>
      </c>
      <c r="AO268" s="30">
        <f t="shared" si="454"/>
        <v>3</v>
      </c>
      <c r="AP268" s="36">
        <f t="shared" si="455"/>
        <v>120.84</v>
      </c>
    </row>
    <row r="269" spans="1:42" ht="14.25" customHeight="1" x14ac:dyDescent="0.25">
      <c r="A269" s="92" t="s">
        <v>845</v>
      </c>
      <c r="B269" s="12" t="s">
        <v>500</v>
      </c>
      <c r="C269" s="11" t="s">
        <v>29</v>
      </c>
      <c r="D269" s="11" t="s">
        <v>501</v>
      </c>
      <c r="E269" s="13" t="s">
        <v>31</v>
      </c>
      <c r="F269" s="12">
        <v>7</v>
      </c>
      <c r="G269" s="14">
        <v>9.89</v>
      </c>
      <c r="H269" s="14">
        <v>12.11</v>
      </c>
      <c r="I269" s="14">
        <v>84.77</v>
      </c>
      <c r="J269" s="28">
        <v>6.0506780870806567E-5</v>
      </c>
      <c r="K269" s="186"/>
      <c r="L269" s="186"/>
      <c r="M269" s="186"/>
      <c r="N269" s="186"/>
      <c r="O269" s="30"/>
      <c r="P269" s="43">
        <f t="shared" si="440"/>
        <v>0</v>
      </c>
      <c r="Q269" s="30">
        <f t="shared" si="441"/>
        <v>0</v>
      </c>
      <c r="R269" s="25">
        <f t="shared" si="442"/>
        <v>0</v>
      </c>
      <c r="S269" s="30">
        <f t="shared" si="391"/>
        <v>7</v>
      </c>
      <c r="T269" s="36">
        <f t="shared" si="443"/>
        <v>84.77</v>
      </c>
      <c r="U269" s="30"/>
      <c r="V269" s="43">
        <f t="shared" si="444"/>
        <v>0</v>
      </c>
      <c r="W269" s="30">
        <f t="shared" si="445"/>
        <v>0</v>
      </c>
      <c r="X269" s="47">
        <f t="shared" si="395"/>
        <v>0</v>
      </c>
      <c r="Y269" s="30">
        <f t="shared" si="446"/>
        <v>7</v>
      </c>
      <c r="Z269" s="36">
        <f t="shared" si="447"/>
        <v>84.77</v>
      </c>
      <c r="AA269" s="52"/>
      <c r="AB269" s="43">
        <f t="shared" si="448"/>
        <v>0</v>
      </c>
      <c r="AC269" s="30"/>
      <c r="AD269" s="43"/>
      <c r="AE269" s="30">
        <f t="shared" si="449"/>
        <v>0</v>
      </c>
      <c r="AF269" s="47">
        <f t="shared" si="400"/>
        <v>0</v>
      </c>
      <c r="AG269" s="30">
        <f t="shared" si="450"/>
        <v>7</v>
      </c>
      <c r="AH269" s="36">
        <f t="shared" si="451"/>
        <v>84.77</v>
      </c>
      <c r="AI269" s="52"/>
      <c r="AJ269" s="43">
        <f t="shared" si="452"/>
        <v>0</v>
      </c>
      <c r="AK269" s="30"/>
      <c r="AL269" s="43"/>
      <c r="AM269" s="30">
        <f t="shared" si="453"/>
        <v>0</v>
      </c>
      <c r="AN269" s="47">
        <f t="shared" si="405"/>
        <v>0</v>
      </c>
      <c r="AO269" s="30">
        <f t="shared" si="454"/>
        <v>7</v>
      </c>
      <c r="AP269" s="36">
        <f t="shared" si="455"/>
        <v>84.77</v>
      </c>
    </row>
    <row r="270" spans="1:42" ht="14.25" customHeight="1" x14ac:dyDescent="0.25">
      <c r="A270" s="92" t="s">
        <v>846</v>
      </c>
      <c r="B270" s="12" t="s">
        <v>502</v>
      </c>
      <c r="C270" s="11" t="s">
        <v>29</v>
      </c>
      <c r="D270" s="11" t="s">
        <v>503</v>
      </c>
      <c r="E270" s="13" t="s">
        <v>31</v>
      </c>
      <c r="F270" s="12">
        <v>74</v>
      </c>
      <c r="G270" s="14">
        <v>86.64</v>
      </c>
      <c r="H270" s="14">
        <v>106.1</v>
      </c>
      <c r="I270" s="14">
        <v>7851.4</v>
      </c>
      <c r="J270" s="28">
        <v>5.6041399000713778E-3</v>
      </c>
      <c r="K270" s="186"/>
      <c r="L270" s="186"/>
      <c r="M270" s="186"/>
      <c r="N270" s="186"/>
      <c r="O270" s="30"/>
      <c r="P270" s="43">
        <f t="shared" si="440"/>
        <v>0</v>
      </c>
      <c r="Q270" s="30">
        <f t="shared" si="441"/>
        <v>0</v>
      </c>
      <c r="R270" s="25">
        <f t="shared" si="442"/>
        <v>0</v>
      </c>
      <c r="S270" s="30">
        <f t="shared" si="391"/>
        <v>74</v>
      </c>
      <c r="T270" s="36">
        <f t="shared" si="443"/>
        <v>7851.4</v>
      </c>
      <c r="U270" s="30"/>
      <c r="V270" s="43">
        <f t="shared" si="444"/>
        <v>0</v>
      </c>
      <c r="W270" s="30">
        <f t="shared" si="445"/>
        <v>0</v>
      </c>
      <c r="X270" s="47">
        <f t="shared" si="395"/>
        <v>0</v>
      </c>
      <c r="Y270" s="30">
        <f t="shared" si="446"/>
        <v>74</v>
      </c>
      <c r="Z270" s="36">
        <f t="shared" si="447"/>
        <v>7851.4</v>
      </c>
      <c r="AA270" s="52"/>
      <c r="AB270" s="43">
        <f t="shared" si="448"/>
        <v>0</v>
      </c>
      <c r="AC270" s="30"/>
      <c r="AD270" s="43"/>
      <c r="AE270" s="30">
        <f t="shared" si="449"/>
        <v>0</v>
      </c>
      <c r="AF270" s="47">
        <f t="shared" si="400"/>
        <v>0</v>
      </c>
      <c r="AG270" s="30">
        <f t="shared" si="450"/>
        <v>74</v>
      </c>
      <c r="AH270" s="36">
        <f t="shared" si="451"/>
        <v>7851.4</v>
      </c>
      <c r="AI270" s="52"/>
      <c r="AJ270" s="43">
        <f t="shared" si="452"/>
        <v>0</v>
      </c>
      <c r="AK270" s="30"/>
      <c r="AL270" s="43"/>
      <c r="AM270" s="30">
        <f t="shared" si="453"/>
        <v>0</v>
      </c>
      <c r="AN270" s="47">
        <f t="shared" si="405"/>
        <v>0</v>
      </c>
      <c r="AO270" s="30">
        <f t="shared" si="454"/>
        <v>74</v>
      </c>
      <c r="AP270" s="36">
        <f t="shared" si="455"/>
        <v>7851.4</v>
      </c>
    </row>
    <row r="271" spans="1:42" ht="14.25" customHeight="1" x14ac:dyDescent="0.25">
      <c r="A271" s="92" t="s">
        <v>847</v>
      </c>
      <c r="B271" s="12" t="s">
        <v>504</v>
      </c>
      <c r="C271" s="11" t="s">
        <v>29</v>
      </c>
      <c r="D271" s="11" t="s">
        <v>505</v>
      </c>
      <c r="E271" s="13" t="s">
        <v>31</v>
      </c>
      <c r="F271" s="12">
        <v>3</v>
      </c>
      <c r="G271" s="14">
        <v>77.400000000000006</v>
      </c>
      <c r="H271" s="14">
        <v>94.79</v>
      </c>
      <c r="I271" s="14">
        <v>284.37</v>
      </c>
      <c r="J271" s="28">
        <v>2.0297644539614561E-4</v>
      </c>
      <c r="K271" s="186"/>
      <c r="L271" s="186"/>
      <c r="M271" s="186"/>
      <c r="N271" s="186"/>
      <c r="O271" s="30"/>
      <c r="P271" s="43">
        <f t="shared" si="440"/>
        <v>0</v>
      </c>
      <c r="Q271" s="30">
        <f t="shared" si="441"/>
        <v>0</v>
      </c>
      <c r="R271" s="25">
        <f t="shared" si="442"/>
        <v>0</v>
      </c>
      <c r="S271" s="30">
        <f t="shared" si="391"/>
        <v>3</v>
      </c>
      <c r="T271" s="36">
        <f t="shared" si="443"/>
        <v>284.37</v>
      </c>
      <c r="U271" s="30"/>
      <c r="V271" s="43">
        <f t="shared" si="444"/>
        <v>0</v>
      </c>
      <c r="W271" s="30">
        <f t="shared" si="445"/>
        <v>0</v>
      </c>
      <c r="X271" s="47">
        <f t="shared" si="395"/>
        <v>0</v>
      </c>
      <c r="Y271" s="30">
        <f t="shared" si="446"/>
        <v>3</v>
      </c>
      <c r="Z271" s="36">
        <f t="shared" si="447"/>
        <v>284.37</v>
      </c>
      <c r="AA271" s="52"/>
      <c r="AB271" s="43">
        <f t="shared" si="448"/>
        <v>0</v>
      </c>
      <c r="AC271" s="30"/>
      <c r="AD271" s="43"/>
      <c r="AE271" s="30">
        <f t="shared" si="449"/>
        <v>0</v>
      </c>
      <c r="AF271" s="47">
        <f t="shared" si="400"/>
        <v>0</v>
      </c>
      <c r="AG271" s="30">
        <f t="shared" si="450"/>
        <v>3</v>
      </c>
      <c r="AH271" s="36">
        <f t="shared" si="451"/>
        <v>284.37</v>
      </c>
      <c r="AI271" s="52"/>
      <c r="AJ271" s="43">
        <f t="shared" si="452"/>
        <v>0</v>
      </c>
      <c r="AK271" s="30"/>
      <c r="AL271" s="43"/>
      <c r="AM271" s="30">
        <f t="shared" si="453"/>
        <v>0</v>
      </c>
      <c r="AN271" s="47">
        <f t="shared" si="405"/>
        <v>0</v>
      </c>
      <c r="AO271" s="30">
        <f t="shared" si="454"/>
        <v>3</v>
      </c>
      <c r="AP271" s="36">
        <f t="shared" si="455"/>
        <v>284.37</v>
      </c>
    </row>
    <row r="272" spans="1:42" ht="25.5" customHeight="1" x14ac:dyDescent="0.25">
      <c r="A272" s="92" t="s">
        <v>848</v>
      </c>
      <c r="B272" s="12" t="s">
        <v>506</v>
      </c>
      <c r="C272" s="11" t="s">
        <v>29</v>
      </c>
      <c r="D272" s="11" t="s">
        <v>507</v>
      </c>
      <c r="E272" s="13" t="s">
        <v>31</v>
      </c>
      <c r="F272" s="12">
        <v>3</v>
      </c>
      <c r="G272" s="14">
        <v>289.17</v>
      </c>
      <c r="H272" s="14">
        <v>354.14</v>
      </c>
      <c r="I272" s="14">
        <v>1062.42</v>
      </c>
      <c r="J272" s="28">
        <v>7.5832976445396147E-4</v>
      </c>
      <c r="K272" s="186"/>
      <c r="L272" s="186"/>
      <c r="M272" s="186"/>
      <c r="N272" s="186"/>
      <c r="O272" s="30"/>
      <c r="P272" s="43">
        <f t="shared" si="440"/>
        <v>0</v>
      </c>
      <c r="Q272" s="30">
        <f t="shared" si="441"/>
        <v>0</v>
      </c>
      <c r="R272" s="25">
        <f t="shared" si="442"/>
        <v>0</v>
      </c>
      <c r="S272" s="30">
        <f t="shared" si="391"/>
        <v>3</v>
      </c>
      <c r="T272" s="36">
        <f t="shared" si="443"/>
        <v>1062.42</v>
      </c>
      <c r="U272" s="30"/>
      <c r="V272" s="43">
        <f t="shared" si="444"/>
        <v>0</v>
      </c>
      <c r="W272" s="30">
        <f t="shared" si="445"/>
        <v>0</v>
      </c>
      <c r="X272" s="47">
        <f t="shared" si="395"/>
        <v>0</v>
      </c>
      <c r="Y272" s="30">
        <f t="shared" si="446"/>
        <v>3</v>
      </c>
      <c r="Z272" s="36">
        <f t="shared" si="447"/>
        <v>1062.42</v>
      </c>
      <c r="AA272" s="52"/>
      <c r="AB272" s="43">
        <f t="shared" si="448"/>
        <v>0</v>
      </c>
      <c r="AC272" s="30"/>
      <c r="AD272" s="43"/>
      <c r="AE272" s="30">
        <f t="shared" si="449"/>
        <v>0</v>
      </c>
      <c r="AF272" s="47">
        <f t="shared" si="400"/>
        <v>0</v>
      </c>
      <c r="AG272" s="30">
        <f t="shared" si="450"/>
        <v>3</v>
      </c>
      <c r="AH272" s="36">
        <f t="shared" si="451"/>
        <v>1062.42</v>
      </c>
      <c r="AI272" s="52"/>
      <c r="AJ272" s="43">
        <f t="shared" si="452"/>
        <v>0</v>
      </c>
      <c r="AK272" s="30"/>
      <c r="AL272" s="43"/>
      <c r="AM272" s="30">
        <f t="shared" si="453"/>
        <v>0</v>
      </c>
      <c r="AN272" s="47">
        <f t="shared" si="405"/>
        <v>0</v>
      </c>
      <c r="AO272" s="30">
        <f t="shared" si="454"/>
        <v>3</v>
      </c>
      <c r="AP272" s="36">
        <f t="shared" si="455"/>
        <v>1062.42</v>
      </c>
    </row>
    <row r="273" spans="1:42" ht="14.25" customHeight="1" x14ac:dyDescent="0.25">
      <c r="A273" s="92" t="s">
        <v>849</v>
      </c>
      <c r="B273" s="12" t="s">
        <v>508</v>
      </c>
      <c r="C273" s="11" t="s">
        <v>26</v>
      </c>
      <c r="D273" s="11" t="s">
        <v>509</v>
      </c>
      <c r="E273" s="13" t="s">
        <v>31</v>
      </c>
      <c r="F273" s="12">
        <v>10</v>
      </c>
      <c r="G273" s="14">
        <v>30.35</v>
      </c>
      <c r="H273" s="14">
        <v>37.159999999999997</v>
      </c>
      <c r="I273" s="14">
        <v>371.6</v>
      </c>
      <c r="J273" s="28">
        <v>2.652391149179158E-4</v>
      </c>
      <c r="K273" s="186"/>
      <c r="L273" s="186"/>
      <c r="M273" s="186"/>
      <c r="N273" s="186"/>
      <c r="O273" s="30"/>
      <c r="P273" s="43">
        <f t="shared" si="440"/>
        <v>0</v>
      </c>
      <c r="Q273" s="30">
        <f t="shared" si="441"/>
        <v>0</v>
      </c>
      <c r="R273" s="25">
        <f t="shared" si="442"/>
        <v>0</v>
      </c>
      <c r="S273" s="30">
        <f t="shared" si="391"/>
        <v>10</v>
      </c>
      <c r="T273" s="36">
        <f t="shared" si="443"/>
        <v>371.59999999999997</v>
      </c>
      <c r="U273" s="30"/>
      <c r="V273" s="43">
        <f t="shared" si="444"/>
        <v>0</v>
      </c>
      <c r="W273" s="30">
        <f t="shared" si="445"/>
        <v>0</v>
      </c>
      <c r="X273" s="47">
        <f t="shared" si="395"/>
        <v>0</v>
      </c>
      <c r="Y273" s="30">
        <f t="shared" si="446"/>
        <v>10</v>
      </c>
      <c r="Z273" s="36">
        <f t="shared" si="447"/>
        <v>371.59999999999997</v>
      </c>
      <c r="AA273" s="52"/>
      <c r="AB273" s="43">
        <f t="shared" si="448"/>
        <v>0</v>
      </c>
      <c r="AC273" s="30"/>
      <c r="AD273" s="43"/>
      <c r="AE273" s="30">
        <f t="shared" si="449"/>
        <v>0</v>
      </c>
      <c r="AF273" s="47">
        <f t="shared" si="400"/>
        <v>0</v>
      </c>
      <c r="AG273" s="30">
        <f t="shared" si="450"/>
        <v>10</v>
      </c>
      <c r="AH273" s="36">
        <f t="shared" si="451"/>
        <v>371.59999999999997</v>
      </c>
      <c r="AI273" s="52"/>
      <c r="AJ273" s="43">
        <f t="shared" si="452"/>
        <v>0</v>
      </c>
      <c r="AK273" s="30"/>
      <c r="AL273" s="43"/>
      <c r="AM273" s="30">
        <f t="shared" si="453"/>
        <v>0</v>
      </c>
      <c r="AN273" s="47">
        <f t="shared" si="405"/>
        <v>0</v>
      </c>
      <c r="AO273" s="30">
        <f t="shared" si="454"/>
        <v>10</v>
      </c>
      <c r="AP273" s="36">
        <f t="shared" si="455"/>
        <v>371.59999999999997</v>
      </c>
    </row>
    <row r="274" spans="1:42" ht="24" customHeight="1" x14ac:dyDescent="0.25">
      <c r="A274" s="91" t="s">
        <v>510</v>
      </c>
      <c r="B274" s="8"/>
      <c r="C274" s="8"/>
      <c r="D274" s="8" t="s">
        <v>511</v>
      </c>
      <c r="E274" s="8"/>
      <c r="F274" s="9"/>
      <c r="G274" s="8"/>
      <c r="H274" s="8"/>
      <c r="I274" s="10">
        <v>47328.87</v>
      </c>
      <c r="J274" s="27">
        <v>3.3782205567451817E-2</v>
      </c>
      <c r="K274" s="185"/>
      <c r="L274" s="185"/>
      <c r="M274" s="185"/>
      <c r="N274" s="185"/>
      <c r="O274" s="32"/>
      <c r="P274" s="44"/>
      <c r="Q274" s="22"/>
      <c r="R274" s="22"/>
      <c r="S274" s="32"/>
      <c r="T274" s="37">
        <f>SUM(T275:T283)</f>
        <v>47328.876000000004</v>
      </c>
      <c r="U274" s="32"/>
      <c r="V274" s="44"/>
      <c r="W274" s="32"/>
      <c r="X274" s="48"/>
      <c r="Y274" s="32"/>
      <c r="Z274" s="37">
        <f>SUM(Z275:Z283)</f>
        <v>47328.876000000004</v>
      </c>
      <c r="AA274" s="53"/>
      <c r="AB274" s="44"/>
      <c r="AC274" s="32"/>
      <c r="AD274" s="44"/>
      <c r="AE274" s="32"/>
      <c r="AF274" s="48"/>
      <c r="AG274" s="32"/>
      <c r="AH274" s="37">
        <f>SUM(AH275:AH283)</f>
        <v>47328.876000000004</v>
      </c>
      <c r="AI274" s="53"/>
      <c r="AJ274" s="44"/>
      <c r="AK274" s="32"/>
      <c r="AL274" s="44"/>
      <c r="AM274" s="32"/>
      <c r="AN274" s="48"/>
      <c r="AO274" s="32"/>
      <c r="AP274" s="37">
        <f>SUM(AP275:AP283)</f>
        <v>47328.876000000004</v>
      </c>
    </row>
    <row r="275" spans="1:42" ht="14.25" customHeight="1" x14ac:dyDescent="0.25">
      <c r="A275" s="92" t="s">
        <v>850</v>
      </c>
      <c r="B275" s="12" t="s">
        <v>512</v>
      </c>
      <c r="C275" s="11" t="s">
        <v>26</v>
      </c>
      <c r="D275" s="11" t="s">
        <v>513</v>
      </c>
      <c r="E275" s="13" t="s">
        <v>31</v>
      </c>
      <c r="F275" s="12">
        <v>1</v>
      </c>
      <c r="G275" s="14">
        <v>55.44</v>
      </c>
      <c r="H275" s="14">
        <v>67.89</v>
      </c>
      <c r="I275" s="14">
        <v>67.89</v>
      </c>
      <c r="J275" s="28">
        <v>4.8458244111349037E-5</v>
      </c>
      <c r="K275" s="186"/>
      <c r="L275" s="186"/>
      <c r="M275" s="186"/>
      <c r="N275" s="186"/>
      <c r="O275" s="30"/>
      <c r="P275" s="43">
        <f t="shared" ref="P275:P283" si="456">O275*H275</f>
        <v>0</v>
      </c>
      <c r="Q275" s="30">
        <f t="shared" ref="Q275:Q283" si="457">O275</f>
        <v>0</v>
      </c>
      <c r="R275" s="25">
        <f t="shared" ref="R275:R283" si="458">Q275/F275</f>
        <v>0</v>
      </c>
      <c r="S275" s="30">
        <f t="shared" si="391"/>
        <v>1</v>
      </c>
      <c r="T275" s="36">
        <f t="shared" ref="T275:T283" si="459">S275*H275</f>
        <v>67.89</v>
      </c>
      <c r="U275" s="30"/>
      <c r="V275" s="43">
        <f t="shared" ref="V275:V283" si="460">U275*H275</f>
        <v>0</v>
      </c>
      <c r="W275" s="30">
        <f t="shared" ref="W275:W283" si="461">Q275+U275</f>
        <v>0</v>
      </c>
      <c r="X275" s="47">
        <f t="shared" si="395"/>
        <v>0</v>
      </c>
      <c r="Y275" s="30">
        <f t="shared" ref="Y275:Y283" si="462">F275-W275</f>
        <v>1</v>
      </c>
      <c r="Z275" s="36">
        <f t="shared" ref="Z275:Z283" si="463">Y275*H275</f>
        <v>67.89</v>
      </c>
      <c r="AA275" s="52"/>
      <c r="AB275" s="43">
        <f t="shared" ref="AB275:AB283" si="464">AA275*H275</f>
        <v>0</v>
      </c>
      <c r="AC275" s="30"/>
      <c r="AD275" s="43"/>
      <c r="AE275" s="30">
        <f t="shared" ref="AE275:AE283" si="465">W275+AC275</f>
        <v>0</v>
      </c>
      <c r="AF275" s="47">
        <f t="shared" si="400"/>
        <v>0</v>
      </c>
      <c r="AG275" s="30">
        <f t="shared" ref="AG275:AG283" si="466">F275-AE275</f>
        <v>1</v>
      </c>
      <c r="AH275" s="36">
        <f t="shared" ref="AH275:AH283" si="467">AG275*H275</f>
        <v>67.89</v>
      </c>
      <c r="AI275" s="52"/>
      <c r="AJ275" s="43">
        <f t="shared" ref="AJ275:AJ283" si="468">AI275*T275</f>
        <v>0</v>
      </c>
      <c r="AK275" s="30"/>
      <c r="AL275" s="43"/>
      <c r="AM275" s="30">
        <f t="shared" ref="AM275:AM283" si="469">AE275+AK275</f>
        <v>0</v>
      </c>
      <c r="AN275" s="47">
        <f t="shared" si="405"/>
        <v>0</v>
      </c>
      <c r="AO275" s="30">
        <f t="shared" ref="AO275:AO283" si="470">F275-AM275</f>
        <v>1</v>
      </c>
      <c r="AP275" s="36">
        <f t="shared" ref="AP275:AP283" si="471">AO275*H275</f>
        <v>67.89</v>
      </c>
    </row>
    <row r="276" spans="1:42" ht="14.25" customHeight="1" x14ac:dyDescent="0.25">
      <c r="A276" s="92" t="s">
        <v>851</v>
      </c>
      <c r="B276" s="12" t="s">
        <v>514</v>
      </c>
      <c r="C276" s="11" t="s">
        <v>29</v>
      </c>
      <c r="D276" s="11" t="s">
        <v>515</v>
      </c>
      <c r="E276" s="13" t="s">
        <v>116</v>
      </c>
      <c r="F276" s="12">
        <v>26</v>
      </c>
      <c r="G276" s="14">
        <v>9.01</v>
      </c>
      <c r="H276" s="14">
        <v>11.03</v>
      </c>
      <c r="I276" s="14">
        <v>286.77999999999997</v>
      </c>
      <c r="J276" s="28">
        <v>2.0469664525339044E-4</v>
      </c>
      <c r="K276" s="186"/>
      <c r="L276" s="186"/>
      <c r="M276" s="186"/>
      <c r="N276" s="186"/>
      <c r="O276" s="30"/>
      <c r="P276" s="43">
        <f t="shared" si="456"/>
        <v>0</v>
      </c>
      <c r="Q276" s="30">
        <f t="shared" si="457"/>
        <v>0</v>
      </c>
      <c r="R276" s="25">
        <f t="shared" si="458"/>
        <v>0</v>
      </c>
      <c r="S276" s="30">
        <f t="shared" si="391"/>
        <v>26</v>
      </c>
      <c r="T276" s="36">
        <f t="shared" si="459"/>
        <v>286.77999999999997</v>
      </c>
      <c r="U276" s="30"/>
      <c r="V276" s="43">
        <f t="shared" si="460"/>
        <v>0</v>
      </c>
      <c r="W276" s="30">
        <f t="shared" si="461"/>
        <v>0</v>
      </c>
      <c r="X276" s="47">
        <f t="shared" si="395"/>
        <v>0</v>
      </c>
      <c r="Y276" s="30">
        <f t="shared" si="462"/>
        <v>26</v>
      </c>
      <c r="Z276" s="36">
        <f t="shared" si="463"/>
        <v>286.77999999999997</v>
      </c>
      <c r="AA276" s="52"/>
      <c r="AB276" s="43">
        <f t="shared" si="464"/>
        <v>0</v>
      </c>
      <c r="AC276" s="30"/>
      <c r="AD276" s="43"/>
      <c r="AE276" s="30">
        <f t="shared" si="465"/>
        <v>0</v>
      </c>
      <c r="AF276" s="47">
        <f t="shared" si="400"/>
        <v>0</v>
      </c>
      <c r="AG276" s="30">
        <f t="shared" si="466"/>
        <v>26</v>
      </c>
      <c r="AH276" s="36">
        <f t="shared" si="467"/>
        <v>286.77999999999997</v>
      </c>
      <c r="AI276" s="52"/>
      <c r="AJ276" s="43">
        <f t="shared" si="468"/>
        <v>0</v>
      </c>
      <c r="AK276" s="30"/>
      <c r="AL276" s="43"/>
      <c r="AM276" s="30">
        <f t="shared" si="469"/>
        <v>0</v>
      </c>
      <c r="AN276" s="47">
        <f t="shared" si="405"/>
        <v>0</v>
      </c>
      <c r="AO276" s="30">
        <f t="shared" si="470"/>
        <v>26</v>
      </c>
      <c r="AP276" s="36">
        <f t="shared" si="471"/>
        <v>286.77999999999997</v>
      </c>
    </row>
    <row r="277" spans="1:42" ht="25.5" customHeight="1" x14ac:dyDescent="0.25">
      <c r="A277" s="92" t="s">
        <v>852</v>
      </c>
      <c r="B277" s="12" t="s">
        <v>516</v>
      </c>
      <c r="C277" s="11" t="s">
        <v>26</v>
      </c>
      <c r="D277" s="11" t="s">
        <v>517</v>
      </c>
      <c r="E277" s="13" t="s">
        <v>31</v>
      </c>
      <c r="F277" s="12">
        <v>26</v>
      </c>
      <c r="G277" s="14">
        <v>13.84</v>
      </c>
      <c r="H277" s="14">
        <v>16.940000000000001</v>
      </c>
      <c r="I277" s="14">
        <v>440.44</v>
      </c>
      <c r="J277" s="28">
        <v>3.143754461099215E-4</v>
      </c>
      <c r="K277" s="186"/>
      <c r="L277" s="186"/>
      <c r="M277" s="186"/>
      <c r="N277" s="186"/>
      <c r="O277" s="30"/>
      <c r="P277" s="43">
        <f t="shared" si="456"/>
        <v>0</v>
      </c>
      <c r="Q277" s="30">
        <f t="shared" si="457"/>
        <v>0</v>
      </c>
      <c r="R277" s="25">
        <f t="shared" si="458"/>
        <v>0</v>
      </c>
      <c r="S277" s="30">
        <f t="shared" si="391"/>
        <v>26</v>
      </c>
      <c r="T277" s="36">
        <f t="shared" si="459"/>
        <v>440.44000000000005</v>
      </c>
      <c r="U277" s="30"/>
      <c r="V277" s="43">
        <f t="shared" si="460"/>
        <v>0</v>
      </c>
      <c r="W277" s="30">
        <f t="shared" si="461"/>
        <v>0</v>
      </c>
      <c r="X277" s="47">
        <f t="shared" si="395"/>
        <v>0</v>
      </c>
      <c r="Y277" s="30">
        <f t="shared" si="462"/>
        <v>26</v>
      </c>
      <c r="Z277" s="36">
        <f t="shared" si="463"/>
        <v>440.44000000000005</v>
      </c>
      <c r="AA277" s="52"/>
      <c r="AB277" s="43">
        <f t="shared" si="464"/>
        <v>0</v>
      </c>
      <c r="AC277" s="30"/>
      <c r="AD277" s="43"/>
      <c r="AE277" s="30">
        <f t="shared" si="465"/>
        <v>0</v>
      </c>
      <c r="AF277" s="47">
        <f t="shared" si="400"/>
        <v>0</v>
      </c>
      <c r="AG277" s="30">
        <f t="shared" si="466"/>
        <v>26</v>
      </c>
      <c r="AH277" s="36">
        <f t="shared" si="467"/>
        <v>440.44000000000005</v>
      </c>
      <c r="AI277" s="52"/>
      <c r="AJ277" s="43">
        <f t="shared" si="468"/>
        <v>0</v>
      </c>
      <c r="AK277" s="30"/>
      <c r="AL277" s="43"/>
      <c r="AM277" s="30">
        <f t="shared" si="469"/>
        <v>0</v>
      </c>
      <c r="AN277" s="47">
        <f t="shared" si="405"/>
        <v>0</v>
      </c>
      <c r="AO277" s="30">
        <f t="shared" si="470"/>
        <v>26</v>
      </c>
      <c r="AP277" s="36">
        <f t="shared" si="471"/>
        <v>440.44000000000005</v>
      </c>
    </row>
    <row r="278" spans="1:42" ht="25.5" customHeight="1" x14ac:dyDescent="0.25">
      <c r="A278" s="92" t="s">
        <v>853</v>
      </c>
      <c r="B278" s="12" t="s">
        <v>518</v>
      </c>
      <c r="C278" s="11" t="s">
        <v>22</v>
      </c>
      <c r="D278" s="11" t="s">
        <v>519</v>
      </c>
      <c r="E278" s="13" t="s">
        <v>365</v>
      </c>
      <c r="F278" s="12">
        <v>1</v>
      </c>
      <c r="G278" s="14">
        <v>251.72</v>
      </c>
      <c r="H278" s="14">
        <v>308.27999999999997</v>
      </c>
      <c r="I278" s="14">
        <v>308.27999999999997</v>
      </c>
      <c r="J278" s="28">
        <v>2.2004282655246253E-4</v>
      </c>
      <c r="K278" s="186"/>
      <c r="L278" s="186"/>
      <c r="M278" s="186"/>
      <c r="N278" s="186"/>
      <c r="O278" s="30"/>
      <c r="P278" s="43">
        <f t="shared" si="456"/>
        <v>0</v>
      </c>
      <c r="Q278" s="30">
        <f t="shared" si="457"/>
        <v>0</v>
      </c>
      <c r="R278" s="25">
        <f t="shared" si="458"/>
        <v>0</v>
      </c>
      <c r="S278" s="30">
        <f t="shared" si="391"/>
        <v>1</v>
      </c>
      <c r="T278" s="36">
        <f t="shared" si="459"/>
        <v>308.27999999999997</v>
      </c>
      <c r="U278" s="30"/>
      <c r="V278" s="43">
        <f t="shared" si="460"/>
        <v>0</v>
      </c>
      <c r="W278" s="30">
        <f t="shared" si="461"/>
        <v>0</v>
      </c>
      <c r="X278" s="47">
        <f t="shared" si="395"/>
        <v>0</v>
      </c>
      <c r="Y278" s="30">
        <f t="shared" si="462"/>
        <v>1</v>
      </c>
      <c r="Z278" s="36">
        <f t="shared" si="463"/>
        <v>308.27999999999997</v>
      </c>
      <c r="AA278" s="52"/>
      <c r="AB278" s="43">
        <f t="shared" si="464"/>
        <v>0</v>
      </c>
      <c r="AC278" s="30"/>
      <c r="AD278" s="43"/>
      <c r="AE278" s="30">
        <f t="shared" si="465"/>
        <v>0</v>
      </c>
      <c r="AF278" s="47">
        <f t="shared" si="400"/>
        <v>0</v>
      </c>
      <c r="AG278" s="30">
        <f t="shared" si="466"/>
        <v>1</v>
      </c>
      <c r="AH278" s="36">
        <f t="shared" si="467"/>
        <v>308.27999999999997</v>
      </c>
      <c r="AI278" s="52"/>
      <c r="AJ278" s="43">
        <f t="shared" si="468"/>
        <v>0</v>
      </c>
      <c r="AK278" s="30"/>
      <c r="AL278" s="43"/>
      <c r="AM278" s="30">
        <f t="shared" si="469"/>
        <v>0</v>
      </c>
      <c r="AN278" s="47">
        <f t="shared" si="405"/>
        <v>0</v>
      </c>
      <c r="AO278" s="30">
        <f t="shared" si="470"/>
        <v>1</v>
      </c>
      <c r="AP278" s="36">
        <f t="shared" si="471"/>
        <v>308.27999999999997</v>
      </c>
    </row>
    <row r="279" spans="1:42" ht="25.5" customHeight="1" x14ac:dyDescent="0.25">
      <c r="A279" s="92" t="s">
        <v>854</v>
      </c>
      <c r="B279" s="12" t="s">
        <v>520</v>
      </c>
      <c r="C279" s="11" t="s">
        <v>26</v>
      </c>
      <c r="D279" s="11" t="s">
        <v>521</v>
      </c>
      <c r="E279" s="13" t="s">
        <v>31</v>
      </c>
      <c r="F279" s="12">
        <v>26</v>
      </c>
      <c r="G279" s="14">
        <v>55.81</v>
      </c>
      <c r="H279" s="14">
        <v>68.349999999999994</v>
      </c>
      <c r="I279" s="14">
        <v>1777.1</v>
      </c>
      <c r="J279" s="28">
        <v>1.2684511063526052E-3</v>
      </c>
      <c r="K279" s="186"/>
      <c r="L279" s="186"/>
      <c r="M279" s="186"/>
      <c r="N279" s="186"/>
      <c r="O279" s="30"/>
      <c r="P279" s="43">
        <f t="shared" si="456"/>
        <v>0</v>
      </c>
      <c r="Q279" s="30">
        <f t="shared" si="457"/>
        <v>0</v>
      </c>
      <c r="R279" s="25">
        <f t="shared" si="458"/>
        <v>0</v>
      </c>
      <c r="S279" s="30">
        <f t="shared" si="391"/>
        <v>26</v>
      </c>
      <c r="T279" s="36">
        <f t="shared" si="459"/>
        <v>1777.1</v>
      </c>
      <c r="U279" s="30"/>
      <c r="V279" s="43">
        <f t="shared" si="460"/>
        <v>0</v>
      </c>
      <c r="W279" s="30">
        <f t="shared" si="461"/>
        <v>0</v>
      </c>
      <c r="X279" s="47">
        <f t="shared" si="395"/>
        <v>0</v>
      </c>
      <c r="Y279" s="30">
        <f t="shared" si="462"/>
        <v>26</v>
      </c>
      <c r="Z279" s="36">
        <f t="shared" si="463"/>
        <v>1777.1</v>
      </c>
      <c r="AA279" s="52"/>
      <c r="AB279" s="43">
        <f t="shared" si="464"/>
        <v>0</v>
      </c>
      <c r="AC279" s="30"/>
      <c r="AD279" s="43"/>
      <c r="AE279" s="30">
        <f t="shared" si="465"/>
        <v>0</v>
      </c>
      <c r="AF279" s="47">
        <f t="shared" si="400"/>
        <v>0</v>
      </c>
      <c r="AG279" s="30">
        <f t="shared" si="466"/>
        <v>26</v>
      </c>
      <c r="AH279" s="36">
        <f t="shared" si="467"/>
        <v>1777.1</v>
      </c>
      <c r="AI279" s="52"/>
      <c r="AJ279" s="43">
        <f t="shared" si="468"/>
        <v>0</v>
      </c>
      <c r="AK279" s="30"/>
      <c r="AL279" s="43"/>
      <c r="AM279" s="30">
        <f t="shared" si="469"/>
        <v>0</v>
      </c>
      <c r="AN279" s="47">
        <f t="shared" si="405"/>
        <v>0</v>
      </c>
      <c r="AO279" s="30">
        <f t="shared" si="470"/>
        <v>26</v>
      </c>
      <c r="AP279" s="36">
        <f t="shared" si="471"/>
        <v>1777.1</v>
      </c>
    </row>
    <row r="280" spans="1:42" ht="25.5" customHeight="1" x14ac:dyDescent="0.25">
      <c r="A280" s="92" t="s">
        <v>855</v>
      </c>
      <c r="B280" s="12" t="s">
        <v>522</v>
      </c>
      <c r="C280" s="11" t="s">
        <v>26</v>
      </c>
      <c r="D280" s="11" t="s">
        <v>523</v>
      </c>
      <c r="E280" s="13" t="s">
        <v>116</v>
      </c>
      <c r="F280" s="12">
        <v>449.2</v>
      </c>
      <c r="G280" s="14">
        <v>41.99</v>
      </c>
      <c r="H280" s="14">
        <v>51.42</v>
      </c>
      <c r="I280" s="14">
        <v>23097.86</v>
      </c>
      <c r="J280" s="28">
        <v>1.6486695217701641E-2</v>
      </c>
      <c r="K280" s="186"/>
      <c r="L280" s="186"/>
      <c r="M280" s="186"/>
      <c r="N280" s="186"/>
      <c r="O280" s="30"/>
      <c r="P280" s="43">
        <f t="shared" si="456"/>
        <v>0</v>
      </c>
      <c r="Q280" s="30">
        <f t="shared" si="457"/>
        <v>0</v>
      </c>
      <c r="R280" s="25">
        <f t="shared" si="458"/>
        <v>0</v>
      </c>
      <c r="S280" s="30">
        <f t="shared" si="391"/>
        <v>449.2</v>
      </c>
      <c r="T280" s="36">
        <f t="shared" si="459"/>
        <v>23097.864000000001</v>
      </c>
      <c r="U280" s="30"/>
      <c r="V280" s="43">
        <f t="shared" si="460"/>
        <v>0</v>
      </c>
      <c r="W280" s="30">
        <f t="shared" si="461"/>
        <v>0</v>
      </c>
      <c r="X280" s="47">
        <f t="shared" si="395"/>
        <v>0</v>
      </c>
      <c r="Y280" s="30">
        <f t="shared" si="462"/>
        <v>449.2</v>
      </c>
      <c r="Z280" s="36">
        <f t="shared" si="463"/>
        <v>23097.864000000001</v>
      </c>
      <c r="AA280" s="52"/>
      <c r="AB280" s="43">
        <f t="shared" si="464"/>
        <v>0</v>
      </c>
      <c r="AC280" s="30"/>
      <c r="AD280" s="43"/>
      <c r="AE280" s="30">
        <f t="shared" si="465"/>
        <v>0</v>
      </c>
      <c r="AF280" s="47">
        <f t="shared" si="400"/>
        <v>0</v>
      </c>
      <c r="AG280" s="30">
        <f t="shared" si="466"/>
        <v>449.2</v>
      </c>
      <c r="AH280" s="36">
        <f t="shared" si="467"/>
        <v>23097.864000000001</v>
      </c>
      <c r="AI280" s="52"/>
      <c r="AJ280" s="43">
        <f t="shared" si="468"/>
        <v>0</v>
      </c>
      <c r="AK280" s="30"/>
      <c r="AL280" s="43"/>
      <c r="AM280" s="30">
        <f t="shared" si="469"/>
        <v>0</v>
      </c>
      <c r="AN280" s="47">
        <f t="shared" si="405"/>
        <v>0</v>
      </c>
      <c r="AO280" s="30">
        <f t="shared" si="470"/>
        <v>449.2</v>
      </c>
      <c r="AP280" s="36">
        <f t="shared" si="471"/>
        <v>23097.864000000001</v>
      </c>
    </row>
    <row r="281" spans="1:42" ht="25.5" customHeight="1" x14ac:dyDescent="0.25">
      <c r="A281" s="92" t="s">
        <v>856</v>
      </c>
      <c r="B281" s="12" t="s">
        <v>524</v>
      </c>
      <c r="C281" s="11" t="s">
        <v>26</v>
      </c>
      <c r="D281" s="11" t="s">
        <v>525</v>
      </c>
      <c r="E281" s="13" t="s">
        <v>116</v>
      </c>
      <c r="F281" s="12">
        <v>305.2</v>
      </c>
      <c r="G281" s="14">
        <v>55.7</v>
      </c>
      <c r="H281" s="14">
        <v>68.209999999999994</v>
      </c>
      <c r="I281" s="14">
        <v>20817.689999999999</v>
      </c>
      <c r="J281" s="28">
        <v>1.485916488222698E-2</v>
      </c>
      <c r="K281" s="186"/>
      <c r="L281" s="186"/>
      <c r="M281" s="186"/>
      <c r="N281" s="186"/>
      <c r="O281" s="30"/>
      <c r="P281" s="43">
        <f t="shared" si="456"/>
        <v>0</v>
      </c>
      <c r="Q281" s="30">
        <f t="shared" si="457"/>
        <v>0</v>
      </c>
      <c r="R281" s="25">
        <f t="shared" si="458"/>
        <v>0</v>
      </c>
      <c r="S281" s="30">
        <f t="shared" si="391"/>
        <v>305.2</v>
      </c>
      <c r="T281" s="36">
        <f t="shared" si="459"/>
        <v>20817.691999999999</v>
      </c>
      <c r="U281" s="30"/>
      <c r="V281" s="43">
        <f t="shared" si="460"/>
        <v>0</v>
      </c>
      <c r="W281" s="30">
        <f t="shared" si="461"/>
        <v>0</v>
      </c>
      <c r="X281" s="47">
        <f t="shared" si="395"/>
        <v>0</v>
      </c>
      <c r="Y281" s="30">
        <f t="shared" si="462"/>
        <v>305.2</v>
      </c>
      <c r="Z281" s="36">
        <f t="shared" si="463"/>
        <v>20817.691999999999</v>
      </c>
      <c r="AA281" s="52"/>
      <c r="AB281" s="43">
        <f t="shared" si="464"/>
        <v>0</v>
      </c>
      <c r="AC281" s="30"/>
      <c r="AD281" s="43"/>
      <c r="AE281" s="30">
        <f t="shared" si="465"/>
        <v>0</v>
      </c>
      <c r="AF281" s="47">
        <f t="shared" si="400"/>
        <v>0</v>
      </c>
      <c r="AG281" s="30">
        <f t="shared" si="466"/>
        <v>305.2</v>
      </c>
      <c r="AH281" s="36">
        <f t="shared" si="467"/>
        <v>20817.691999999999</v>
      </c>
      <c r="AI281" s="52"/>
      <c r="AJ281" s="43">
        <f t="shared" si="468"/>
        <v>0</v>
      </c>
      <c r="AK281" s="30"/>
      <c r="AL281" s="43"/>
      <c r="AM281" s="30">
        <f t="shared" si="469"/>
        <v>0</v>
      </c>
      <c r="AN281" s="47">
        <f t="shared" si="405"/>
        <v>0</v>
      </c>
      <c r="AO281" s="30">
        <f t="shared" si="470"/>
        <v>305.2</v>
      </c>
      <c r="AP281" s="36">
        <f t="shared" si="471"/>
        <v>20817.691999999999</v>
      </c>
    </row>
    <row r="282" spans="1:42" ht="25.5" customHeight="1" x14ac:dyDescent="0.25">
      <c r="A282" s="92" t="s">
        <v>857</v>
      </c>
      <c r="B282" s="12" t="s">
        <v>526</v>
      </c>
      <c r="C282" s="11" t="s">
        <v>26</v>
      </c>
      <c r="D282" s="11" t="s">
        <v>527</v>
      </c>
      <c r="E282" s="13" t="s">
        <v>31</v>
      </c>
      <c r="F282" s="12">
        <v>5</v>
      </c>
      <c r="G282" s="14">
        <v>32.119999999999997</v>
      </c>
      <c r="H282" s="14">
        <v>39.33</v>
      </c>
      <c r="I282" s="14">
        <v>196.65</v>
      </c>
      <c r="J282" s="28">
        <v>1.4036402569593147E-4</v>
      </c>
      <c r="K282" s="186"/>
      <c r="L282" s="186"/>
      <c r="M282" s="186"/>
      <c r="N282" s="186"/>
      <c r="O282" s="30"/>
      <c r="P282" s="43">
        <f t="shared" si="456"/>
        <v>0</v>
      </c>
      <c r="Q282" s="30">
        <f t="shared" si="457"/>
        <v>0</v>
      </c>
      <c r="R282" s="25">
        <f t="shared" si="458"/>
        <v>0</v>
      </c>
      <c r="S282" s="30">
        <f t="shared" si="391"/>
        <v>5</v>
      </c>
      <c r="T282" s="36">
        <f t="shared" si="459"/>
        <v>196.64999999999998</v>
      </c>
      <c r="U282" s="30"/>
      <c r="V282" s="43">
        <f t="shared" si="460"/>
        <v>0</v>
      </c>
      <c r="W282" s="30">
        <f t="shared" si="461"/>
        <v>0</v>
      </c>
      <c r="X282" s="47">
        <f t="shared" si="395"/>
        <v>0</v>
      </c>
      <c r="Y282" s="30">
        <f t="shared" si="462"/>
        <v>5</v>
      </c>
      <c r="Z282" s="36">
        <f t="shared" si="463"/>
        <v>196.64999999999998</v>
      </c>
      <c r="AA282" s="52"/>
      <c r="AB282" s="43">
        <f t="shared" si="464"/>
        <v>0</v>
      </c>
      <c r="AC282" s="30"/>
      <c r="AD282" s="43"/>
      <c r="AE282" s="30">
        <f t="shared" si="465"/>
        <v>0</v>
      </c>
      <c r="AF282" s="47">
        <f t="shared" si="400"/>
        <v>0</v>
      </c>
      <c r="AG282" s="30">
        <f t="shared" si="466"/>
        <v>5</v>
      </c>
      <c r="AH282" s="36">
        <f t="shared" si="467"/>
        <v>196.64999999999998</v>
      </c>
      <c r="AI282" s="52"/>
      <c r="AJ282" s="43">
        <f t="shared" si="468"/>
        <v>0</v>
      </c>
      <c r="AK282" s="30"/>
      <c r="AL282" s="43"/>
      <c r="AM282" s="30">
        <f t="shared" si="469"/>
        <v>0</v>
      </c>
      <c r="AN282" s="47">
        <f t="shared" si="405"/>
        <v>0</v>
      </c>
      <c r="AO282" s="30">
        <f t="shared" si="470"/>
        <v>5</v>
      </c>
      <c r="AP282" s="36">
        <f t="shared" si="471"/>
        <v>196.64999999999998</v>
      </c>
    </row>
    <row r="283" spans="1:42" ht="14.25" customHeight="1" x14ac:dyDescent="0.25">
      <c r="A283" s="92" t="s">
        <v>858</v>
      </c>
      <c r="B283" s="12" t="s">
        <v>528</v>
      </c>
      <c r="C283" s="11" t="s">
        <v>29</v>
      </c>
      <c r="D283" s="11" t="s">
        <v>529</v>
      </c>
      <c r="E283" s="13" t="s">
        <v>31</v>
      </c>
      <c r="F283" s="12">
        <v>26</v>
      </c>
      <c r="G283" s="14">
        <v>10.56</v>
      </c>
      <c r="H283" s="14">
        <v>12.93</v>
      </c>
      <c r="I283" s="14">
        <v>336.18</v>
      </c>
      <c r="J283" s="28">
        <v>2.3995717344753748E-4</v>
      </c>
      <c r="K283" s="186"/>
      <c r="L283" s="186"/>
      <c r="M283" s="186"/>
      <c r="N283" s="186"/>
      <c r="O283" s="30"/>
      <c r="P283" s="43">
        <f t="shared" si="456"/>
        <v>0</v>
      </c>
      <c r="Q283" s="30">
        <f t="shared" si="457"/>
        <v>0</v>
      </c>
      <c r="R283" s="25">
        <f t="shared" si="458"/>
        <v>0</v>
      </c>
      <c r="S283" s="30">
        <f t="shared" si="391"/>
        <v>26</v>
      </c>
      <c r="T283" s="36">
        <f t="shared" si="459"/>
        <v>336.18</v>
      </c>
      <c r="U283" s="30"/>
      <c r="V283" s="43">
        <f t="shared" si="460"/>
        <v>0</v>
      </c>
      <c r="W283" s="30">
        <f t="shared" si="461"/>
        <v>0</v>
      </c>
      <c r="X283" s="47">
        <f t="shared" si="395"/>
        <v>0</v>
      </c>
      <c r="Y283" s="30">
        <f t="shared" si="462"/>
        <v>26</v>
      </c>
      <c r="Z283" s="36">
        <f t="shared" si="463"/>
        <v>336.18</v>
      </c>
      <c r="AA283" s="52"/>
      <c r="AB283" s="43">
        <f t="shared" si="464"/>
        <v>0</v>
      </c>
      <c r="AC283" s="30"/>
      <c r="AD283" s="43"/>
      <c r="AE283" s="30">
        <f t="shared" si="465"/>
        <v>0</v>
      </c>
      <c r="AF283" s="47">
        <f t="shared" si="400"/>
        <v>0</v>
      </c>
      <c r="AG283" s="30">
        <f t="shared" si="466"/>
        <v>26</v>
      </c>
      <c r="AH283" s="36">
        <f t="shared" si="467"/>
        <v>336.18</v>
      </c>
      <c r="AI283" s="52"/>
      <c r="AJ283" s="43">
        <f t="shared" si="468"/>
        <v>0</v>
      </c>
      <c r="AK283" s="30"/>
      <c r="AL283" s="43"/>
      <c r="AM283" s="30">
        <f t="shared" si="469"/>
        <v>0</v>
      </c>
      <c r="AN283" s="47">
        <f t="shared" si="405"/>
        <v>0</v>
      </c>
      <c r="AO283" s="30">
        <f t="shared" si="470"/>
        <v>26</v>
      </c>
      <c r="AP283" s="36">
        <f t="shared" si="471"/>
        <v>336.18</v>
      </c>
    </row>
    <row r="284" spans="1:42" ht="14.25" customHeight="1" x14ac:dyDescent="0.25">
      <c r="A284" s="91" t="s">
        <v>530</v>
      </c>
      <c r="B284" s="8"/>
      <c r="C284" s="8"/>
      <c r="D284" s="8" t="s">
        <v>531</v>
      </c>
      <c r="E284" s="8"/>
      <c r="F284" s="9"/>
      <c r="G284" s="8"/>
      <c r="H284" s="8"/>
      <c r="I284" s="10">
        <v>56091.17</v>
      </c>
      <c r="J284" s="27">
        <v>4.0036523911491789E-2</v>
      </c>
      <c r="K284" s="185"/>
      <c r="L284" s="185"/>
      <c r="M284" s="185"/>
      <c r="N284" s="185"/>
      <c r="O284" s="32"/>
      <c r="P284" s="44"/>
      <c r="Q284" s="22"/>
      <c r="R284" s="22"/>
      <c r="S284" s="32"/>
      <c r="T284" s="37"/>
      <c r="U284" s="32"/>
      <c r="V284" s="44"/>
      <c r="W284" s="32"/>
      <c r="X284" s="48"/>
      <c r="Y284" s="32"/>
      <c r="Z284" s="37"/>
      <c r="AA284" s="53"/>
      <c r="AB284" s="44"/>
      <c r="AC284" s="32"/>
      <c r="AD284" s="44"/>
      <c r="AE284" s="32"/>
      <c r="AF284" s="48"/>
      <c r="AG284" s="32"/>
      <c r="AH284" s="37"/>
      <c r="AI284" s="53"/>
      <c r="AJ284" s="44"/>
      <c r="AK284" s="32"/>
      <c r="AL284" s="44"/>
      <c r="AM284" s="32"/>
      <c r="AN284" s="48"/>
      <c r="AO284" s="32"/>
      <c r="AP284" s="37"/>
    </row>
    <row r="285" spans="1:42" ht="14.25" customHeight="1" x14ac:dyDescent="0.25">
      <c r="A285" s="91" t="s">
        <v>532</v>
      </c>
      <c r="B285" s="8"/>
      <c r="C285" s="8"/>
      <c r="D285" s="8" t="s">
        <v>533</v>
      </c>
      <c r="E285" s="8"/>
      <c r="F285" s="9"/>
      <c r="G285" s="8"/>
      <c r="H285" s="8"/>
      <c r="I285" s="10">
        <v>11911.26</v>
      </c>
      <c r="J285" s="27">
        <v>8.5019700214132767E-3</v>
      </c>
      <c r="K285" s="185"/>
      <c r="L285" s="185"/>
      <c r="M285" s="185"/>
      <c r="N285" s="185"/>
      <c r="O285" s="32"/>
      <c r="P285" s="44"/>
      <c r="Q285" s="22"/>
      <c r="R285" s="22"/>
      <c r="S285" s="32"/>
      <c r="T285" s="37">
        <f>SUM(T286:T290)</f>
        <v>11911.278100000001</v>
      </c>
      <c r="U285" s="32"/>
      <c r="V285" s="44"/>
      <c r="W285" s="32"/>
      <c r="X285" s="48"/>
      <c r="Y285" s="32"/>
      <c r="Z285" s="37">
        <f>SUM(Z286:Z290)</f>
        <v>11911.278100000001</v>
      </c>
      <c r="AA285" s="53"/>
      <c r="AB285" s="44"/>
      <c r="AC285" s="32"/>
      <c r="AD285" s="44"/>
      <c r="AE285" s="32"/>
      <c r="AF285" s="48"/>
      <c r="AG285" s="32"/>
      <c r="AH285" s="37">
        <f>SUM(AH286:AH290)</f>
        <v>11911.278100000001</v>
      </c>
      <c r="AI285" s="53"/>
      <c r="AJ285" s="44"/>
      <c r="AK285" s="32"/>
      <c r="AL285" s="44"/>
      <c r="AM285" s="32"/>
      <c r="AN285" s="48"/>
      <c r="AO285" s="32"/>
      <c r="AP285" s="37">
        <f>SUM(AP286:AP290)</f>
        <v>11911.278100000001</v>
      </c>
    </row>
    <row r="286" spans="1:42" ht="18" customHeight="1" x14ac:dyDescent="0.25">
      <c r="A286" s="92" t="s">
        <v>859</v>
      </c>
      <c r="B286" s="12" t="s">
        <v>534</v>
      </c>
      <c r="C286" s="11" t="s">
        <v>29</v>
      </c>
      <c r="D286" s="11" t="s">
        <v>535</v>
      </c>
      <c r="E286" s="13" t="s">
        <v>24</v>
      </c>
      <c r="F286" s="12">
        <v>12.22</v>
      </c>
      <c r="G286" s="14">
        <v>248.95</v>
      </c>
      <c r="H286" s="14">
        <v>304.88</v>
      </c>
      <c r="I286" s="14">
        <v>3725.63</v>
      </c>
      <c r="J286" s="28">
        <v>2.6592648108493934E-3</v>
      </c>
      <c r="K286" s="186"/>
      <c r="L286" s="186"/>
      <c r="M286" s="186"/>
      <c r="N286" s="186"/>
      <c r="O286" s="30"/>
      <c r="P286" s="43">
        <f t="shared" ref="P286:P290" si="472">O286*H286</f>
        <v>0</v>
      </c>
      <c r="Q286" s="30">
        <f t="shared" ref="Q286:Q290" si="473">O286</f>
        <v>0</v>
      </c>
      <c r="R286" s="25">
        <f>Q286/F286</f>
        <v>0</v>
      </c>
      <c r="S286" s="30">
        <f t="shared" ref="S286:S290" si="474">F286-Q286</f>
        <v>12.22</v>
      </c>
      <c r="T286" s="36">
        <f>S286*H286</f>
        <v>3725.6336000000001</v>
      </c>
      <c r="U286" s="30"/>
      <c r="V286" s="43">
        <f>U286*H286</f>
        <v>0</v>
      </c>
      <c r="W286" s="30">
        <f t="shared" ref="W286:W290" si="475">Q286+U286</f>
        <v>0</v>
      </c>
      <c r="X286" s="47">
        <f t="shared" ref="X286:X301" si="476">W286/$F$8</f>
        <v>0</v>
      </c>
      <c r="Y286" s="30">
        <f t="shared" ref="Y286:Y290" si="477">F286-W286</f>
        <v>12.22</v>
      </c>
      <c r="Z286" s="36">
        <f>Y286*H286</f>
        <v>3725.6336000000001</v>
      </c>
      <c r="AA286" s="52"/>
      <c r="AB286" s="43">
        <f>AA286*H286</f>
        <v>0</v>
      </c>
      <c r="AC286" s="30"/>
      <c r="AD286" s="43"/>
      <c r="AE286" s="30">
        <f t="shared" ref="AE286:AE290" si="478">W286+AC286</f>
        <v>0</v>
      </c>
      <c r="AF286" s="47">
        <f t="shared" ref="AF286:AF301" si="479">AE286/$F$8</f>
        <v>0</v>
      </c>
      <c r="AG286" s="30">
        <f t="shared" ref="AG286:AG290" si="480">F286-AE286</f>
        <v>12.22</v>
      </c>
      <c r="AH286" s="36">
        <f>AG286*H286</f>
        <v>3725.6336000000001</v>
      </c>
      <c r="AI286" s="52"/>
      <c r="AJ286" s="43">
        <f t="shared" ref="AJ286:AJ290" si="481">AI286*T286</f>
        <v>0</v>
      </c>
      <c r="AK286" s="30"/>
      <c r="AL286" s="43"/>
      <c r="AM286" s="30">
        <f t="shared" ref="AM286:AM290" si="482">AE286+AK286</f>
        <v>0</v>
      </c>
      <c r="AN286" s="47">
        <f t="shared" ref="AN286:AN301" si="483">AM286/$F$8</f>
        <v>0</v>
      </c>
      <c r="AO286" s="30">
        <f t="shared" ref="AO286:AO290" si="484">F286-AM286</f>
        <v>12.22</v>
      </c>
      <c r="AP286" s="36">
        <f>AO286*H286</f>
        <v>3725.6336000000001</v>
      </c>
    </row>
    <row r="287" spans="1:42" ht="16.5" customHeight="1" x14ac:dyDescent="0.25">
      <c r="A287" s="92" t="s">
        <v>860</v>
      </c>
      <c r="B287" s="12" t="s">
        <v>534</v>
      </c>
      <c r="C287" s="11" t="s">
        <v>29</v>
      </c>
      <c r="D287" s="11" t="s">
        <v>535</v>
      </c>
      <c r="E287" s="13" t="s">
        <v>24</v>
      </c>
      <c r="F287" s="12">
        <v>3.5</v>
      </c>
      <c r="G287" s="14">
        <v>248.95</v>
      </c>
      <c r="H287" s="14">
        <v>304.88</v>
      </c>
      <c r="I287" s="14">
        <v>1067.08</v>
      </c>
      <c r="J287" s="28">
        <v>7.6165596002855098E-4</v>
      </c>
      <c r="K287" s="186"/>
      <c r="L287" s="186"/>
      <c r="M287" s="186"/>
      <c r="N287" s="186"/>
      <c r="O287" s="30"/>
      <c r="P287" s="43">
        <f t="shared" si="472"/>
        <v>0</v>
      </c>
      <c r="Q287" s="30">
        <f t="shared" si="473"/>
        <v>0</v>
      </c>
      <c r="R287" s="25">
        <f>Q287/F287</f>
        <v>0</v>
      </c>
      <c r="S287" s="30">
        <f t="shared" si="474"/>
        <v>3.5</v>
      </c>
      <c r="T287" s="36">
        <f>S287*H287</f>
        <v>1067.08</v>
      </c>
      <c r="U287" s="30"/>
      <c r="V287" s="43">
        <f>U287*H287</f>
        <v>0</v>
      </c>
      <c r="W287" s="30">
        <f t="shared" si="475"/>
        <v>0</v>
      </c>
      <c r="X287" s="47">
        <f t="shared" si="476"/>
        <v>0</v>
      </c>
      <c r="Y287" s="30">
        <f t="shared" si="477"/>
        <v>3.5</v>
      </c>
      <c r="Z287" s="36">
        <f>Y287*H287</f>
        <v>1067.08</v>
      </c>
      <c r="AA287" s="52"/>
      <c r="AB287" s="43">
        <f>AA287*H287</f>
        <v>0</v>
      </c>
      <c r="AC287" s="30"/>
      <c r="AD287" s="43"/>
      <c r="AE287" s="30">
        <f t="shared" si="478"/>
        <v>0</v>
      </c>
      <c r="AF287" s="47">
        <f t="shared" si="479"/>
        <v>0</v>
      </c>
      <c r="AG287" s="30">
        <f t="shared" si="480"/>
        <v>3.5</v>
      </c>
      <c r="AH287" s="36">
        <f>AG287*H287</f>
        <v>1067.08</v>
      </c>
      <c r="AI287" s="52"/>
      <c r="AJ287" s="43">
        <f t="shared" si="481"/>
        <v>0</v>
      </c>
      <c r="AK287" s="30"/>
      <c r="AL287" s="43"/>
      <c r="AM287" s="30">
        <f t="shared" si="482"/>
        <v>0</v>
      </c>
      <c r="AN287" s="47">
        <f t="shared" si="483"/>
        <v>0</v>
      </c>
      <c r="AO287" s="30">
        <f t="shared" si="484"/>
        <v>3.5</v>
      </c>
      <c r="AP287" s="36">
        <f>AO287*H287</f>
        <v>1067.08</v>
      </c>
    </row>
    <row r="288" spans="1:42" ht="19.5" customHeight="1" x14ac:dyDescent="0.25">
      <c r="A288" s="92" t="s">
        <v>861</v>
      </c>
      <c r="B288" s="12" t="s">
        <v>536</v>
      </c>
      <c r="C288" s="11" t="s">
        <v>29</v>
      </c>
      <c r="D288" s="11" t="s">
        <v>537</v>
      </c>
      <c r="E288" s="13" t="s">
        <v>116</v>
      </c>
      <c r="F288" s="12">
        <v>71.3</v>
      </c>
      <c r="G288" s="14">
        <v>64.959999999999994</v>
      </c>
      <c r="H288" s="14">
        <v>79.55</v>
      </c>
      <c r="I288" s="14">
        <v>5671.91</v>
      </c>
      <c r="J288" s="28">
        <v>4.0484725196288365E-3</v>
      </c>
      <c r="K288" s="186"/>
      <c r="L288" s="186"/>
      <c r="M288" s="186"/>
      <c r="N288" s="186"/>
      <c r="O288" s="30"/>
      <c r="P288" s="43">
        <f t="shared" si="472"/>
        <v>0</v>
      </c>
      <c r="Q288" s="30">
        <f t="shared" si="473"/>
        <v>0</v>
      </c>
      <c r="R288" s="25">
        <f>Q288/F288</f>
        <v>0</v>
      </c>
      <c r="S288" s="30">
        <f t="shared" si="474"/>
        <v>71.3</v>
      </c>
      <c r="T288" s="36">
        <f>S288*H288</f>
        <v>5671.915</v>
      </c>
      <c r="U288" s="30"/>
      <c r="V288" s="43">
        <f>U288*H288</f>
        <v>0</v>
      </c>
      <c r="W288" s="30">
        <f t="shared" si="475"/>
        <v>0</v>
      </c>
      <c r="X288" s="47">
        <f t="shared" si="476"/>
        <v>0</v>
      </c>
      <c r="Y288" s="30">
        <f t="shared" si="477"/>
        <v>71.3</v>
      </c>
      <c r="Z288" s="36">
        <f>Y288*H288</f>
        <v>5671.915</v>
      </c>
      <c r="AA288" s="52"/>
      <c r="AB288" s="43">
        <f>AA288*H288</f>
        <v>0</v>
      </c>
      <c r="AC288" s="30"/>
      <c r="AD288" s="43"/>
      <c r="AE288" s="30">
        <f t="shared" si="478"/>
        <v>0</v>
      </c>
      <c r="AF288" s="47">
        <f t="shared" si="479"/>
        <v>0</v>
      </c>
      <c r="AG288" s="30">
        <f t="shared" si="480"/>
        <v>71.3</v>
      </c>
      <c r="AH288" s="36">
        <f>AG288*H288</f>
        <v>5671.915</v>
      </c>
      <c r="AI288" s="52"/>
      <c r="AJ288" s="43">
        <f t="shared" si="481"/>
        <v>0</v>
      </c>
      <c r="AK288" s="30"/>
      <c r="AL288" s="43"/>
      <c r="AM288" s="30">
        <f t="shared" si="482"/>
        <v>0</v>
      </c>
      <c r="AN288" s="47">
        <f t="shared" si="483"/>
        <v>0</v>
      </c>
      <c r="AO288" s="30">
        <f t="shared" si="484"/>
        <v>71.3</v>
      </c>
      <c r="AP288" s="36">
        <f>AO288*H288</f>
        <v>5671.915</v>
      </c>
    </row>
    <row r="289" spans="1:43" ht="18" customHeight="1" x14ac:dyDescent="0.25">
      <c r="A289" s="92" t="s">
        <v>862</v>
      </c>
      <c r="B289" s="12" t="s">
        <v>538</v>
      </c>
      <c r="C289" s="11" t="s">
        <v>29</v>
      </c>
      <c r="D289" s="11" t="s">
        <v>539</v>
      </c>
      <c r="E289" s="13" t="s">
        <v>24</v>
      </c>
      <c r="F289" s="12">
        <v>6.55</v>
      </c>
      <c r="G289" s="14">
        <v>148.33000000000001</v>
      </c>
      <c r="H289" s="14">
        <v>181.65</v>
      </c>
      <c r="I289" s="14">
        <v>1189.8</v>
      </c>
      <c r="J289" s="28">
        <v>8.4925053533190583E-4</v>
      </c>
      <c r="K289" s="186"/>
      <c r="L289" s="186"/>
      <c r="M289" s="186"/>
      <c r="N289" s="186"/>
      <c r="O289" s="30"/>
      <c r="P289" s="43">
        <f t="shared" si="472"/>
        <v>0</v>
      </c>
      <c r="Q289" s="30">
        <f t="shared" si="473"/>
        <v>0</v>
      </c>
      <c r="R289" s="25">
        <f>Q289/F289</f>
        <v>0</v>
      </c>
      <c r="S289" s="30">
        <f t="shared" si="474"/>
        <v>6.55</v>
      </c>
      <c r="T289" s="36">
        <f>S289*H289</f>
        <v>1189.8075000000001</v>
      </c>
      <c r="U289" s="30"/>
      <c r="V289" s="43">
        <f>U289*H289</f>
        <v>0</v>
      </c>
      <c r="W289" s="30">
        <f t="shared" si="475"/>
        <v>0</v>
      </c>
      <c r="X289" s="47">
        <f t="shared" si="476"/>
        <v>0</v>
      </c>
      <c r="Y289" s="30">
        <f t="shared" si="477"/>
        <v>6.55</v>
      </c>
      <c r="Z289" s="36">
        <f>Y289*H289</f>
        <v>1189.8075000000001</v>
      </c>
      <c r="AA289" s="52"/>
      <c r="AB289" s="43">
        <f>AA289*H289</f>
        <v>0</v>
      </c>
      <c r="AC289" s="30"/>
      <c r="AD289" s="43"/>
      <c r="AE289" s="30">
        <f t="shared" si="478"/>
        <v>0</v>
      </c>
      <c r="AF289" s="47">
        <f t="shared" si="479"/>
        <v>0</v>
      </c>
      <c r="AG289" s="30">
        <f t="shared" si="480"/>
        <v>6.55</v>
      </c>
      <c r="AH289" s="36">
        <f>AG289*H289</f>
        <v>1189.8075000000001</v>
      </c>
      <c r="AI289" s="52"/>
      <c r="AJ289" s="43">
        <f t="shared" si="481"/>
        <v>0</v>
      </c>
      <c r="AK289" s="30"/>
      <c r="AL289" s="43"/>
      <c r="AM289" s="30">
        <f t="shared" si="482"/>
        <v>0</v>
      </c>
      <c r="AN289" s="47">
        <f t="shared" si="483"/>
        <v>0</v>
      </c>
      <c r="AO289" s="30">
        <f t="shared" si="484"/>
        <v>6.55</v>
      </c>
      <c r="AP289" s="36">
        <f>AO289*H289</f>
        <v>1189.8075000000001</v>
      </c>
    </row>
    <row r="290" spans="1:43" ht="25.5" customHeight="1" x14ac:dyDescent="0.25">
      <c r="A290" s="92" t="s">
        <v>863</v>
      </c>
      <c r="B290" s="12" t="s">
        <v>540</v>
      </c>
      <c r="C290" s="11" t="s">
        <v>29</v>
      </c>
      <c r="D290" s="11" t="s">
        <v>541</v>
      </c>
      <c r="E290" s="13" t="s">
        <v>24</v>
      </c>
      <c r="F290" s="12">
        <v>1.9</v>
      </c>
      <c r="G290" s="14">
        <v>110.38</v>
      </c>
      <c r="H290" s="14">
        <v>135.18</v>
      </c>
      <c r="I290" s="14">
        <v>256.83999999999997</v>
      </c>
      <c r="J290" s="28">
        <v>1.8332619557458958E-4</v>
      </c>
      <c r="K290" s="186"/>
      <c r="L290" s="186"/>
      <c r="M290" s="186"/>
      <c r="N290" s="186"/>
      <c r="O290" s="30"/>
      <c r="P290" s="43">
        <f t="shared" si="472"/>
        <v>0</v>
      </c>
      <c r="Q290" s="30">
        <f t="shared" si="473"/>
        <v>0</v>
      </c>
      <c r="R290" s="25">
        <f>Q290/F290</f>
        <v>0</v>
      </c>
      <c r="S290" s="30">
        <f t="shared" si="474"/>
        <v>1.9</v>
      </c>
      <c r="T290" s="36">
        <f>S290*H290</f>
        <v>256.84199999999998</v>
      </c>
      <c r="U290" s="30"/>
      <c r="V290" s="43">
        <f>U290*H290</f>
        <v>0</v>
      </c>
      <c r="W290" s="30">
        <f t="shared" si="475"/>
        <v>0</v>
      </c>
      <c r="X290" s="47">
        <f t="shared" si="476"/>
        <v>0</v>
      </c>
      <c r="Y290" s="30">
        <f t="shared" si="477"/>
        <v>1.9</v>
      </c>
      <c r="Z290" s="36">
        <f>Y290*H290</f>
        <v>256.84199999999998</v>
      </c>
      <c r="AA290" s="52"/>
      <c r="AB290" s="43">
        <f>AA290*H290</f>
        <v>0</v>
      </c>
      <c r="AC290" s="30"/>
      <c r="AD290" s="43"/>
      <c r="AE290" s="30">
        <f t="shared" si="478"/>
        <v>0</v>
      </c>
      <c r="AF290" s="47">
        <f t="shared" si="479"/>
        <v>0</v>
      </c>
      <c r="AG290" s="30">
        <f t="shared" si="480"/>
        <v>1.9</v>
      </c>
      <c r="AH290" s="36">
        <f>AG290*H290</f>
        <v>256.84199999999998</v>
      </c>
      <c r="AI290" s="52"/>
      <c r="AJ290" s="43">
        <f t="shared" si="481"/>
        <v>0</v>
      </c>
      <c r="AK290" s="30"/>
      <c r="AL290" s="43"/>
      <c r="AM290" s="30">
        <f t="shared" si="482"/>
        <v>0</v>
      </c>
      <c r="AN290" s="47">
        <f t="shared" si="483"/>
        <v>0</v>
      </c>
      <c r="AO290" s="30">
        <f t="shared" si="484"/>
        <v>1.9</v>
      </c>
      <c r="AP290" s="36">
        <f>AO290*H290</f>
        <v>256.84199999999998</v>
      </c>
    </row>
    <row r="291" spans="1:43" ht="14.25" customHeight="1" x14ac:dyDescent="0.25">
      <c r="A291" s="91" t="s">
        <v>542</v>
      </c>
      <c r="B291" s="8"/>
      <c r="C291" s="8"/>
      <c r="D291" s="8" t="s">
        <v>543</v>
      </c>
      <c r="E291" s="8"/>
      <c r="F291" s="9"/>
      <c r="G291" s="8"/>
      <c r="H291" s="8"/>
      <c r="I291" s="10">
        <v>44179.91</v>
      </c>
      <c r="J291" s="27">
        <v>3.1534553890078518E-2</v>
      </c>
      <c r="K291" s="185"/>
      <c r="L291" s="185"/>
      <c r="M291" s="185"/>
      <c r="N291" s="185"/>
      <c r="O291" s="32"/>
      <c r="P291" s="44"/>
      <c r="Q291" s="22"/>
      <c r="R291" s="22"/>
      <c r="S291" s="32"/>
      <c r="T291" s="37">
        <f>SUM(T292:T298)</f>
        <v>44179.929699999993</v>
      </c>
      <c r="U291" s="32"/>
      <c r="V291" s="44"/>
      <c r="W291" s="32"/>
      <c r="X291" s="48"/>
      <c r="Y291" s="32"/>
      <c r="Z291" s="37">
        <f>SUM(Z292:Z298)</f>
        <v>44179.929699999993</v>
      </c>
      <c r="AA291" s="53"/>
      <c r="AB291" s="44"/>
      <c r="AC291" s="32"/>
      <c r="AD291" s="44"/>
      <c r="AE291" s="32"/>
      <c r="AF291" s="48"/>
      <c r="AG291" s="32"/>
      <c r="AH291" s="37">
        <f>SUM(AH292:AH298)</f>
        <v>44179.929699999993</v>
      </c>
      <c r="AI291" s="53"/>
      <c r="AJ291" s="44"/>
      <c r="AK291" s="32"/>
      <c r="AL291" s="44"/>
      <c r="AM291" s="32"/>
      <c r="AN291" s="48"/>
      <c r="AO291" s="32"/>
      <c r="AP291" s="37">
        <f>SUM(AP292:AP298)</f>
        <v>44179.929699999993</v>
      </c>
    </row>
    <row r="292" spans="1:43" ht="14.25" customHeight="1" x14ac:dyDescent="0.25">
      <c r="A292" s="92" t="s">
        <v>864</v>
      </c>
      <c r="B292" s="12" t="s">
        <v>544</v>
      </c>
      <c r="C292" s="11" t="s">
        <v>29</v>
      </c>
      <c r="D292" s="11" t="s">
        <v>545</v>
      </c>
      <c r="E292" s="13" t="s">
        <v>31</v>
      </c>
      <c r="F292" s="12">
        <v>1</v>
      </c>
      <c r="G292" s="14">
        <v>2835.72</v>
      </c>
      <c r="H292" s="14">
        <v>3472.9</v>
      </c>
      <c r="I292" s="14">
        <v>3472.9</v>
      </c>
      <c r="J292" s="28">
        <v>2.4788722341184868E-3</v>
      </c>
      <c r="K292" s="186"/>
      <c r="L292" s="186"/>
      <c r="M292" s="186"/>
      <c r="N292" s="186"/>
      <c r="O292" s="30"/>
      <c r="P292" s="43">
        <f t="shared" ref="P292:P298" si="485">O292*H292</f>
        <v>0</v>
      </c>
      <c r="Q292" s="30">
        <f t="shared" ref="Q292:Q298" si="486">O292</f>
        <v>0</v>
      </c>
      <c r="R292" s="25">
        <f t="shared" ref="R292:R298" si="487">Q292/F292</f>
        <v>0</v>
      </c>
      <c r="S292" s="30">
        <f t="shared" ref="S292:S298" si="488">F292-Q292</f>
        <v>1</v>
      </c>
      <c r="T292" s="36">
        <f t="shared" ref="T292:T298" si="489">S292*H292</f>
        <v>3472.9</v>
      </c>
      <c r="U292" s="30"/>
      <c r="V292" s="43">
        <f t="shared" ref="V292:V298" si="490">U292*H292</f>
        <v>0</v>
      </c>
      <c r="W292" s="30">
        <f t="shared" ref="W292:W298" si="491">Q292+U292</f>
        <v>0</v>
      </c>
      <c r="X292" s="47">
        <f t="shared" si="476"/>
        <v>0</v>
      </c>
      <c r="Y292" s="30">
        <f t="shared" ref="Y292:Y298" si="492">F292-W292</f>
        <v>1</v>
      </c>
      <c r="Z292" s="36">
        <f t="shared" ref="Z292:Z298" si="493">Y292*H292</f>
        <v>3472.9</v>
      </c>
      <c r="AA292" s="52"/>
      <c r="AB292" s="43">
        <f t="shared" ref="AB292:AB298" si="494">AA292*H292</f>
        <v>0</v>
      </c>
      <c r="AC292" s="30"/>
      <c r="AD292" s="43"/>
      <c r="AE292" s="30">
        <f t="shared" ref="AE292:AE298" si="495">W292+AC292</f>
        <v>0</v>
      </c>
      <c r="AF292" s="47">
        <f t="shared" si="479"/>
        <v>0</v>
      </c>
      <c r="AG292" s="30">
        <f t="shared" ref="AG292:AG298" si="496">F292-AE292</f>
        <v>1</v>
      </c>
      <c r="AH292" s="36">
        <f t="shared" ref="AH292:AH298" si="497">AG292*H292</f>
        <v>3472.9</v>
      </c>
      <c r="AI292" s="52"/>
      <c r="AJ292" s="43">
        <f t="shared" ref="AJ292:AJ298" si="498">AI292*T292</f>
        <v>0</v>
      </c>
      <c r="AK292" s="30"/>
      <c r="AL292" s="43"/>
      <c r="AM292" s="30">
        <f t="shared" ref="AM292:AM298" si="499">AE292+AK292</f>
        <v>0</v>
      </c>
      <c r="AN292" s="47">
        <f t="shared" si="483"/>
        <v>0</v>
      </c>
      <c r="AO292" s="30">
        <f t="shared" ref="AO292:AO298" si="500">F292-AM292</f>
        <v>1</v>
      </c>
      <c r="AP292" s="36">
        <f t="shared" ref="AP292:AP298" si="501">AO292*H292</f>
        <v>3472.9</v>
      </c>
    </row>
    <row r="293" spans="1:43" ht="14.25" customHeight="1" x14ac:dyDescent="0.25">
      <c r="A293" s="92" t="s">
        <v>865</v>
      </c>
      <c r="B293" s="12" t="s">
        <v>546</v>
      </c>
      <c r="C293" s="11" t="s">
        <v>29</v>
      </c>
      <c r="D293" s="11" t="s">
        <v>547</v>
      </c>
      <c r="E293" s="13" t="s">
        <v>116</v>
      </c>
      <c r="F293" s="12">
        <v>14</v>
      </c>
      <c r="G293" s="14">
        <v>300.27</v>
      </c>
      <c r="H293" s="14">
        <v>367.74</v>
      </c>
      <c r="I293" s="14">
        <v>5148.3599999999997</v>
      </c>
      <c r="J293" s="28">
        <v>3.6747751605995718E-3</v>
      </c>
      <c r="K293" s="186"/>
      <c r="L293" s="186"/>
      <c r="M293" s="186"/>
      <c r="N293" s="186"/>
      <c r="O293" s="30"/>
      <c r="P293" s="43">
        <f t="shared" si="485"/>
        <v>0</v>
      </c>
      <c r="Q293" s="30">
        <f t="shared" si="486"/>
        <v>0</v>
      </c>
      <c r="R293" s="25">
        <f t="shared" si="487"/>
        <v>0</v>
      </c>
      <c r="S293" s="30">
        <f t="shared" si="488"/>
        <v>14</v>
      </c>
      <c r="T293" s="36">
        <f t="shared" si="489"/>
        <v>5148.3600000000006</v>
      </c>
      <c r="U293" s="30"/>
      <c r="V293" s="43">
        <f t="shared" si="490"/>
        <v>0</v>
      </c>
      <c r="W293" s="30">
        <f t="shared" si="491"/>
        <v>0</v>
      </c>
      <c r="X293" s="47">
        <f t="shared" si="476"/>
        <v>0</v>
      </c>
      <c r="Y293" s="30">
        <f t="shared" si="492"/>
        <v>14</v>
      </c>
      <c r="Z293" s="36">
        <f t="shared" si="493"/>
        <v>5148.3600000000006</v>
      </c>
      <c r="AA293" s="52"/>
      <c r="AB293" s="43">
        <f t="shared" si="494"/>
        <v>0</v>
      </c>
      <c r="AC293" s="30"/>
      <c r="AD293" s="43"/>
      <c r="AE293" s="30">
        <f t="shared" si="495"/>
        <v>0</v>
      </c>
      <c r="AF293" s="47">
        <f t="shared" si="479"/>
        <v>0</v>
      </c>
      <c r="AG293" s="30">
        <f t="shared" si="496"/>
        <v>14</v>
      </c>
      <c r="AH293" s="36">
        <f t="shared" si="497"/>
        <v>5148.3600000000006</v>
      </c>
      <c r="AI293" s="52"/>
      <c r="AJ293" s="43">
        <f t="shared" si="498"/>
        <v>0</v>
      </c>
      <c r="AK293" s="30"/>
      <c r="AL293" s="43"/>
      <c r="AM293" s="30">
        <f t="shared" si="499"/>
        <v>0</v>
      </c>
      <c r="AN293" s="47">
        <f t="shared" si="483"/>
        <v>0</v>
      </c>
      <c r="AO293" s="30">
        <f t="shared" si="500"/>
        <v>14</v>
      </c>
      <c r="AP293" s="36">
        <f t="shared" si="501"/>
        <v>5148.3600000000006</v>
      </c>
    </row>
    <row r="294" spans="1:43" ht="14.25" customHeight="1" x14ac:dyDescent="0.25">
      <c r="A294" s="92" t="s">
        <v>866</v>
      </c>
      <c r="B294" s="12" t="s">
        <v>548</v>
      </c>
      <c r="C294" s="11" t="s">
        <v>26</v>
      </c>
      <c r="D294" s="11" t="s">
        <v>549</v>
      </c>
      <c r="E294" s="13" t="s">
        <v>24</v>
      </c>
      <c r="F294" s="12">
        <v>90.96</v>
      </c>
      <c r="G294" s="14">
        <v>11.41</v>
      </c>
      <c r="H294" s="14">
        <v>13.97</v>
      </c>
      <c r="I294" s="14">
        <v>1270.71</v>
      </c>
      <c r="J294" s="28">
        <v>9.0700214132762318E-4</v>
      </c>
      <c r="K294" s="186"/>
      <c r="L294" s="186"/>
      <c r="M294" s="186"/>
      <c r="N294" s="186"/>
      <c r="O294" s="30"/>
      <c r="P294" s="43">
        <f t="shared" si="485"/>
        <v>0</v>
      </c>
      <c r="Q294" s="30">
        <f t="shared" si="486"/>
        <v>0</v>
      </c>
      <c r="R294" s="25">
        <f t="shared" si="487"/>
        <v>0</v>
      </c>
      <c r="S294" s="30">
        <f t="shared" si="488"/>
        <v>90.96</v>
      </c>
      <c r="T294" s="36">
        <f t="shared" si="489"/>
        <v>1270.7112</v>
      </c>
      <c r="U294" s="30"/>
      <c r="V294" s="43">
        <f t="shared" si="490"/>
        <v>0</v>
      </c>
      <c r="W294" s="30">
        <f t="shared" si="491"/>
        <v>0</v>
      </c>
      <c r="X294" s="47">
        <f t="shared" si="476"/>
        <v>0</v>
      </c>
      <c r="Y294" s="30">
        <f t="shared" si="492"/>
        <v>90.96</v>
      </c>
      <c r="Z294" s="36">
        <f t="shared" si="493"/>
        <v>1270.7112</v>
      </c>
      <c r="AA294" s="52"/>
      <c r="AB294" s="43">
        <f t="shared" si="494"/>
        <v>0</v>
      </c>
      <c r="AC294" s="30"/>
      <c r="AD294" s="43"/>
      <c r="AE294" s="30">
        <f t="shared" si="495"/>
        <v>0</v>
      </c>
      <c r="AF294" s="47">
        <f t="shared" si="479"/>
        <v>0</v>
      </c>
      <c r="AG294" s="30">
        <f t="shared" si="496"/>
        <v>90.96</v>
      </c>
      <c r="AH294" s="36">
        <f t="shared" si="497"/>
        <v>1270.7112</v>
      </c>
      <c r="AI294" s="52"/>
      <c r="AJ294" s="43">
        <f t="shared" si="498"/>
        <v>0</v>
      </c>
      <c r="AK294" s="30"/>
      <c r="AL294" s="43"/>
      <c r="AM294" s="30">
        <f t="shared" si="499"/>
        <v>0</v>
      </c>
      <c r="AN294" s="47">
        <f t="shared" si="483"/>
        <v>0</v>
      </c>
      <c r="AO294" s="30">
        <f t="shared" si="500"/>
        <v>90.96</v>
      </c>
      <c r="AP294" s="36">
        <f t="shared" si="501"/>
        <v>1270.7112</v>
      </c>
    </row>
    <row r="295" spans="1:43" ht="14.25" customHeight="1" x14ac:dyDescent="0.25">
      <c r="A295" s="92" t="s">
        <v>867</v>
      </c>
      <c r="B295" s="12" t="s">
        <v>550</v>
      </c>
      <c r="C295" s="11" t="s">
        <v>29</v>
      </c>
      <c r="D295" s="11" t="s">
        <v>551</v>
      </c>
      <c r="E295" s="13" t="s">
        <v>116</v>
      </c>
      <c r="F295" s="12">
        <v>143.19999999999999</v>
      </c>
      <c r="G295" s="14">
        <v>102.61</v>
      </c>
      <c r="H295" s="14">
        <v>125.66</v>
      </c>
      <c r="I295" s="14">
        <v>17994.509999999998</v>
      </c>
      <c r="J295" s="28">
        <v>1.284404710920771E-2</v>
      </c>
      <c r="K295" s="186"/>
      <c r="L295" s="186"/>
      <c r="M295" s="186"/>
      <c r="N295" s="186"/>
      <c r="O295" s="30"/>
      <c r="P295" s="43">
        <f t="shared" si="485"/>
        <v>0</v>
      </c>
      <c r="Q295" s="30">
        <f t="shared" si="486"/>
        <v>0</v>
      </c>
      <c r="R295" s="25">
        <f t="shared" si="487"/>
        <v>0</v>
      </c>
      <c r="S295" s="30">
        <f t="shared" si="488"/>
        <v>143.19999999999999</v>
      </c>
      <c r="T295" s="36">
        <f t="shared" si="489"/>
        <v>17994.511999999999</v>
      </c>
      <c r="U295" s="30"/>
      <c r="V295" s="43">
        <f t="shared" si="490"/>
        <v>0</v>
      </c>
      <c r="W295" s="30">
        <f t="shared" si="491"/>
        <v>0</v>
      </c>
      <c r="X295" s="47">
        <f t="shared" si="476"/>
        <v>0</v>
      </c>
      <c r="Y295" s="30">
        <f t="shared" si="492"/>
        <v>143.19999999999999</v>
      </c>
      <c r="Z295" s="36">
        <f t="shared" si="493"/>
        <v>17994.511999999999</v>
      </c>
      <c r="AA295" s="52"/>
      <c r="AB295" s="43">
        <f t="shared" si="494"/>
        <v>0</v>
      </c>
      <c r="AC295" s="30"/>
      <c r="AD295" s="43"/>
      <c r="AE295" s="30">
        <f t="shared" si="495"/>
        <v>0</v>
      </c>
      <c r="AF295" s="47">
        <f t="shared" si="479"/>
        <v>0</v>
      </c>
      <c r="AG295" s="30">
        <f t="shared" si="496"/>
        <v>143.19999999999999</v>
      </c>
      <c r="AH295" s="36">
        <f t="shared" si="497"/>
        <v>17994.511999999999</v>
      </c>
      <c r="AI295" s="52"/>
      <c r="AJ295" s="43">
        <f t="shared" si="498"/>
        <v>0</v>
      </c>
      <c r="AK295" s="30"/>
      <c r="AL295" s="43"/>
      <c r="AM295" s="30">
        <f t="shared" si="499"/>
        <v>0</v>
      </c>
      <c r="AN295" s="47">
        <f t="shared" si="483"/>
        <v>0</v>
      </c>
      <c r="AO295" s="30">
        <f t="shared" si="500"/>
        <v>143.19999999999999</v>
      </c>
      <c r="AP295" s="36">
        <f t="shared" si="501"/>
        <v>17994.511999999999</v>
      </c>
    </row>
    <row r="296" spans="1:43" ht="39" customHeight="1" x14ac:dyDescent="0.25">
      <c r="A296" s="92" t="s">
        <v>868</v>
      </c>
      <c r="B296" s="12" t="s">
        <v>384</v>
      </c>
      <c r="C296" s="11" t="s">
        <v>26</v>
      </c>
      <c r="D296" s="11" t="s">
        <v>385</v>
      </c>
      <c r="E296" s="13" t="s">
        <v>24</v>
      </c>
      <c r="F296" s="12">
        <v>5.27</v>
      </c>
      <c r="G296" s="14">
        <v>667.29</v>
      </c>
      <c r="H296" s="14">
        <v>817.23</v>
      </c>
      <c r="I296" s="14">
        <v>4306.8</v>
      </c>
      <c r="J296" s="28">
        <v>3.0740899357601715E-3</v>
      </c>
      <c r="K296" s="186"/>
      <c r="L296" s="186"/>
      <c r="M296" s="186"/>
      <c r="N296" s="186"/>
      <c r="O296" s="30"/>
      <c r="P296" s="43">
        <f t="shared" si="485"/>
        <v>0</v>
      </c>
      <c r="Q296" s="30">
        <f t="shared" si="486"/>
        <v>0</v>
      </c>
      <c r="R296" s="25">
        <f t="shared" si="487"/>
        <v>0</v>
      </c>
      <c r="S296" s="30">
        <f t="shared" si="488"/>
        <v>5.27</v>
      </c>
      <c r="T296" s="36">
        <f t="shared" si="489"/>
        <v>4306.8020999999999</v>
      </c>
      <c r="U296" s="30"/>
      <c r="V296" s="43">
        <f t="shared" si="490"/>
        <v>0</v>
      </c>
      <c r="W296" s="30">
        <f t="shared" si="491"/>
        <v>0</v>
      </c>
      <c r="X296" s="47">
        <f t="shared" si="476"/>
        <v>0</v>
      </c>
      <c r="Y296" s="30">
        <f t="shared" si="492"/>
        <v>5.27</v>
      </c>
      <c r="Z296" s="36">
        <f t="shared" si="493"/>
        <v>4306.8020999999999</v>
      </c>
      <c r="AA296" s="52"/>
      <c r="AB296" s="43">
        <f t="shared" si="494"/>
        <v>0</v>
      </c>
      <c r="AC296" s="30"/>
      <c r="AD296" s="43"/>
      <c r="AE296" s="30">
        <f t="shared" si="495"/>
        <v>0</v>
      </c>
      <c r="AF296" s="47">
        <f t="shared" si="479"/>
        <v>0</v>
      </c>
      <c r="AG296" s="30">
        <f t="shared" si="496"/>
        <v>5.27</v>
      </c>
      <c r="AH296" s="36">
        <f t="shared" si="497"/>
        <v>4306.8020999999999</v>
      </c>
      <c r="AI296" s="52"/>
      <c r="AJ296" s="43">
        <f t="shared" si="498"/>
        <v>0</v>
      </c>
      <c r="AK296" s="30"/>
      <c r="AL296" s="43"/>
      <c r="AM296" s="30">
        <f t="shared" si="499"/>
        <v>0</v>
      </c>
      <c r="AN296" s="47">
        <f t="shared" si="483"/>
        <v>0</v>
      </c>
      <c r="AO296" s="30">
        <f t="shared" si="500"/>
        <v>5.27</v>
      </c>
      <c r="AP296" s="36">
        <f t="shared" si="501"/>
        <v>4306.8020999999999</v>
      </c>
    </row>
    <row r="297" spans="1:43" ht="25.5" customHeight="1" x14ac:dyDescent="0.25">
      <c r="A297" s="92" t="s">
        <v>869</v>
      </c>
      <c r="B297" s="12" t="s">
        <v>552</v>
      </c>
      <c r="C297" s="11" t="s">
        <v>22</v>
      </c>
      <c r="D297" s="11" t="s">
        <v>553</v>
      </c>
      <c r="E297" s="13" t="s">
        <v>24</v>
      </c>
      <c r="F297" s="12">
        <v>4.9000000000000004</v>
      </c>
      <c r="G297" s="14">
        <v>549.16</v>
      </c>
      <c r="H297" s="14">
        <v>672.55</v>
      </c>
      <c r="I297" s="14">
        <v>3295.49</v>
      </c>
      <c r="J297" s="28">
        <v>2.3522412562455388E-3</v>
      </c>
      <c r="K297" s="186"/>
      <c r="L297" s="186"/>
      <c r="M297" s="186"/>
      <c r="N297" s="186"/>
      <c r="O297" s="30"/>
      <c r="P297" s="43">
        <f t="shared" si="485"/>
        <v>0</v>
      </c>
      <c r="Q297" s="30">
        <f t="shared" si="486"/>
        <v>0</v>
      </c>
      <c r="R297" s="25">
        <f t="shared" si="487"/>
        <v>0</v>
      </c>
      <c r="S297" s="30">
        <f t="shared" si="488"/>
        <v>4.9000000000000004</v>
      </c>
      <c r="T297" s="36">
        <f t="shared" si="489"/>
        <v>3295.4949999999999</v>
      </c>
      <c r="U297" s="30"/>
      <c r="V297" s="43">
        <f t="shared" si="490"/>
        <v>0</v>
      </c>
      <c r="W297" s="30">
        <f t="shared" si="491"/>
        <v>0</v>
      </c>
      <c r="X297" s="47">
        <f t="shared" si="476"/>
        <v>0</v>
      </c>
      <c r="Y297" s="30">
        <f t="shared" si="492"/>
        <v>4.9000000000000004</v>
      </c>
      <c r="Z297" s="36">
        <f t="shared" si="493"/>
        <v>3295.4949999999999</v>
      </c>
      <c r="AA297" s="52"/>
      <c r="AB297" s="43">
        <f t="shared" si="494"/>
        <v>0</v>
      </c>
      <c r="AC297" s="30"/>
      <c r="AD297" s="43"/>
      <c r="AE297" s="30">
        <f t="shared" si="495"/>
        <v>0</v>
      </c>
      <c r="AF297" s="47">
        <f t="shared" si="479"/>
        <v>0</v>
      </c>
      <c r="AG297" s="30">
        <f t="shared" si="496"/>
        <v>4.9000000000000004</v>
      </c>
      <c r="AH297" s="36">
        <f t="shared" si="497"/>
        <v>3295.4949999999999</v>
      </c>
      <c r="AI297" s="52"/>
      <c r="AJ297" s="43">
        <f t="shared" si="498"/>
        <v>0</v>
      </c>
      <c r="AK297" s="30"/>
      <c r="AL297" s="43"/>
      <c r="AM297" s="30">
        <f t="shared" si="499"/>
        <v>0</v>
      </c>
      <c r="AN297" s="47">
        <f t="shared" si="483"/>
        <v>0</v>
      </c>
      <c r="AO297" s="30">
        <f t="shared" si="500"/>
        <v>4.9000000000000004</v>
      </c>
      <c r="AP297" s="36">
        <f t="shared" si="501"/>
        <v>3295.4949999999999</v>
      </c>
    </row>
    <row r="298" spans="1:43" ht="14.25" customHeight="1" x14ac:dyDescent="0.25">
      <c r="A298" s="92" t="s">
        <v>870</v>
      </c>
      <c r="B298" s="12" t="s">
        <v>554</v>
      </c>
      <c r="C298" s="11" t="s">
        <v>22</v>
      </c>
      <c r="D298" s="11" t="s">
        <v>555</v>
      </c>
      <c r="E298" s="13" t="s">
        <v>24</v>
      </c>
      <c r="F298" s="12">
        <v>5.43</v>
      </c>
      <c r="G298" s="14">
        <v>1306.92</v>
      </c>
      <c r="H298" s="14">
        <v>1600.58</v>
      </c>
      <c r="I298" s="14">
        <v>8691.14</v>
      </c>
      <c r="J298" s="28">
        <v>6.2035260528194146E-3</v>
      </c>
      <c r="K298" s="186"/>
      <c r="L298" s="186"/>
      <c r="M298" s="186"/>
      <c r="N298" s="186"/>
      <c r="O298" s="30"/>
      <c r="P298" s="43">
        <f t="shared" si="485"/>
        <v>0</v>
      </c>
      <c r="Q298" s="30">
        <f t="shared" si="486"/>
        <v>0</v>
      </c>
      <c r="R298" s="25">
        <f t="shared" si="487"/>
        <v>0</v>
      </c>
      <c r="S298" s="30">
        <f t="shared" si="488"/>
        <v>5.43</v>
      </c>
      <c r="T298" s="36">
        <f t="shared" si="489"/>
        <v>8691.1493999999984</v>
      </c>
      <c r="U298" s="30"/>
      <c r="V298" s="43">
        <f t="shared" si="490"/>
        <v>0</v>
      </c>
      <c r="W298" s="30">
        <f t="shared" si="491"/>
        <v>0</v>
      </c>
      <c r="X298" s="47">
        <f t="shared" si="476"/>
        <v>0</v>
      </c>
      <c r="Y298" s="30">
        <f t="shared" si="492"/>
        <v>5.43</v>
      </c>
      <c r="Z298" s="36">
        <f t="shared" si="493"/>
        <v>8691.1493999999984</v>
      </c>
      <c r="AA298" s="52"/>
      <c r="AB298" s="43">
        <f t="shared" si="494"/>
        <v>0</v>
      </c>
      <c r="AC298" s="30"/>
      <c r="AD298" s="43"/>
      <c r="AE298" s="30">
        <f t="shared" si="495"/>
        <v>0</v>
      </c>
      <c r="AF298" s="47">
        <f t="shared" si="479"/>
        <v>0</v>
      </c>
      <c r="AG298" s="30">
        <f t="shared" si="496"/>
        <v>5.43</v>
      </c>
      <c r="AH298" s="36">
        <f t="shared" si="497"/>
        <v>8691.1493999999984</v>
      </c>
      <c r="AI298" s="52"/>
      <c r="AJ298" s="43">
        <f t="shared" si="498"/>
        <v>0</v>
      </c>
      <c r="AK298" s="30"/>
      <c r="AL298" s="43"/>
      <c r="AM298" s="30">
        <f t="shared" si="499"/>
        <v>0</v>
      </c>
      <c r="AN298" s="47">
        <f t="shared" si="483"/>
        <v>0</v>
      </c>
      <c r="AO298" s="30">
        <f t="shared" si="500"/>
        <v>5.43</v>
      </c>
      <c r="AP298" s="36">
        <f t="shared" si="501"/>
        <v>8691.1493999999984</v>
      </c>
    </row>
    <row r="299" spans="1:43" ht="14.25" customHeight="1" x14ac:dyDescent="0.25">
      <c r="A299" s="91" t="s">
        <v>556</v>
      </c>
      <c r="B299" s="8"/>
      <c r="C299" s="8"/>
      <c r="D299" s="8" t="s">
        <v>557</v>
      </c>
      <c r="E299" s="8"/>
      <c r="F299" s="9"/>
      <c r="G299" s="8"/>
      <c r="H299" s="8"/>
      <c r="I299" s="10">
        <v>3754.85</v>
      </c>
      <c r="J299" s="27">
        <v>2.6801213418986437E-3</v>
      </c>
      <c r="K299" s="185"/>
      <c r="L299" s="185"/>
      <c r="M299" s="185"/>
      <c r="N299" s="185"/>
      <c r="O299" s="32"/>
      <c r="P299" s="44"/>
      <c r="Q299" s="22"/>
      <c r="R299" s="22"/>
      <c r="S299" s="32"/>
      <c r="T299" s="37">
        <f>SUM(T300:T301)</f>
        <v>3754.8516</v>
      </c>
      <c r="U299" s="32"/>
      <c r="V299" s="44"/>
      <c r="W299" s="32"/>
      <c r="X299" s="48"/>
      <c r="Y299" s="32"/>
      <c r="Z299" s="37">
        <f>SUM(Z300:Z301)</f>
        <v>3754.8516</v>
      </c>
      <c r="AA299" s="53"/>
      <c r="AB299" s="44"/>
      <c r="AC299" s="32"/>
      <c r="AD299" s="44"/>
      <c r="AE299" s="32"/>
      <c r="AF299" s="48"/>
      <c r="AG299" s="32"/>
      <c r="AH299" s="37">
        <f>SUM(AH300:AH301)</f>
        <v>3754.8516</v>
      </c>
      <c r="AI299" s="53"/>
      <c r="AJ299" s="44"/>
      <c r="AK299" s="32"/>
      <c r="AL299" s="44"/>
      <c r="AM299" s="32"/>
      <c r="AN299" s="48"/>
      <c r="AO299" s="32"/>
      <c r="AP299" s="37">
        <f>SUM(AP300:AP301)</f>
        <v>3754.8516</v>
      </c>
    </row>
    <row r="300" spans="1:43" ht="25.5" customHeight="1" x14ac:dyDescent="0.25">
      <c r="A300" s="92" t="s">
        <v>871</v>
      </c>
      <c r="B300" s="12" t="s">
        <v>558</v>
      </c>
      <c r="C300" s="11" t="s">
        <v>26</v>
      </c>
      <c r="D300" s="11" t="s">
        <v>559</v>
      </c>
      <c r="E300" s="13" t="s">
        <v>24</v>
      </c>
      <c r="F300" s="12">
        <v>1129.6400000000001</v>
      </c>
      <c r="G300" s="14">
        <v>1.38</v>
      </c>
      <c r="H300" s="14">
        <v>1.69</v>
      </c>
      <c r="I300" s="14">
        <v>1909.09</v>
      </c>
      <c r="J300" s="28">
        <v>1.3626623840114205E-3</v>
      </c>
      <c r="K300" s="186"/>
      <c r="L300" s="186"/>
      <c r="M300" s="186"/>
      <c r="N300" s="186"/>
      <c r="O300" s="30"/>
      <c r="P300" s="43">
        <f t="shared" ref="P300:P301" si="502">O300*H300</f>
        <v>0</v>
      </c>
      <c r="Q300" s="30">
        <f t="shared" ref="Q300:Q301" si="503">O300</f>
        <v>0</v>
      </c>
      <c r="R300" s="25">
        <f>Q300/F300</f>
        <v>0</v>
      </c>
      <c r="S300" s="30">
        <f t="shared" ref="S300" si="504">F300-Q300</f>
        <v>1129.6400000000001</v>
      </c>
      <c r="T300" s="36">
        <f>S300*H300</f>
        <v>1909.0916000000002</v>
      </c>
      <c r="U300" s="30"/>
      <c r="V300" s="43">
        <f>U300*H300</f>
        <v>0</v>
      </c>
      <c r="W300" s="30">
        <f t="shared" ref="W300:W301" si="505">Q300+U300</f>
        <v>0</v>
      </c>
      <c r="X300" s="47">
        <f t="shared" si="476"/>
        <v>0</v>
      </c>
      <c r="Y300" s="30">
        <f t="shared" ref="Y300:Y301" si="506">F300-W300</f>
        <v>1129.6400000000001</v>
      </c>
      <c r="Z300" s="36">
        <f>Y300*H300</f>
        <v>1909.0916000000002</v>
      </c>
      <c r="AA300" s="52"/>
      <c r="AB300" s="43">
        <f>AA300*H300</f>
        <v>0</v>
      </c>
      <c r="AC300" s="30"/>
      <c r="AD300" s="43"/>
      <c r="AE300" s="30">
        <f t="shared" ref="AE300:AE301" si="507">W300+AC300</f>
        <v>0</v>
      </c>
      <c r="AF300" s="47">
        <f t="shared" si="479"/>
        <v>0</v>
      </c>
      <c r="AG300" s="30">
        <f t="shared" ref="AG300:AG301" si="508">F300-AE300</f>
        <v>1129.6400000000001</v>
      </c>
      <c r="AH300" s="36">
        <f>AG300*H300</f>
        <v>1909.0916000000002</v>
      </c>
      <c r="AI300" s="52"/>
      <c r="AJ300" s="43">
        <f t="shared" ref="AJ300:AJ302" si="509">AI300*T300</f>
        <v>0</v>
      </c>
      <c r="AK300" s="30"/>
      <c r="AL300" s="43"/>
      <c r="AM300" s="30">
        <f t="shared" ref="AM300:AM301" si="510">AE300+AK300</f>
        <v>0</v>
      </c>
      <c r="AN300" s="47">
        <f t="shared" si="483"/>
        <v>0</v>
      </c>
      <c r="AO300" s="30">
        <f t="shared" ref="AO300:AO301" si="511">F300-AM300</f>
        <v>1129.6400000000001</v>
      </c>
      <c r="AP300" s="36">
        <f>AO300*H300</f>
        <v>1909.0916000000002</v>
      </c>
    </row>
    <row r="301" spans="1:43" ht="14.25" customHeight="1" x14ac:dyDescent="0.25">
      <c r="A301" s="92" t="s">
        <v>872</v>
      </c>
      <c r="B301" s="12" t="s">
        <v>560</v>
      </c>
      <c r="C301" s="11" t="s">
        <v>22</v>
      </c>
      <c r="D301" s="11" t="s">
        <v>561</v>
      </c>
      <c r="E301" s="13" t="s">
        <v>365</v>
      </c>
      <c r="F301" s="12">
        <v>1</v>
      </c>
      <c r="G301" s="14">
        <v>1507.12</v>
      </c>
      <c r="H301" s="14">
        <v>1845.76</v>
      </c>
      <c r="I301" s="14">
        <v>1845.76</v>
      </c>
      <c r="J301" s="28">
        <v>1.3174589578872234E-3</v>
      </c>
      <c r="K301" s="186"/>
      <c r="L301" s="186"/>
      <c r="M301" s="186"/>
      <c r="N301" s="186"/>
      <c r="O301" s="55"/>
      <c r="P301" s="56">
        <f t="shared" si="502"/>
        <v>0</v>
      </c>
      <c r="Q301" s="30">
        <f t="shared" si="503"/>
        <v>0</v>
      </c>
      <c r="R301" s="25">
        <f>Q301/F301</f>
        <v>0</v>
      </c>
      <c r="S301" s="55">
        <f>F301-Q301</f>
        <v>1</v>
      </c>
      <c r="T301" s="101">
        <f>S301*H301</f>
        <v>1845.76</v>
      </c>
      <c r="U301" s="30"/>
      <c r="V301" s="43">
        <f>U301*H301</f>
        <v>0</v>
      </c>
      <c r="W301" s="30">
        <f t="shared" si="505"/>
        <v>0</v>
      </c>
      <c r="X301" s="47">
        <f t="shared" si="476"/>
        <v>0</v>
      </c>
      <c r="Y301" s="30">
        <f t="shared" si="506"/>
        <v>1</v>
      </c>
      <c r="Z301" s="36">
        <f>Y301*H301</f>
        <v>1845.76</v>
      </c>
      <c r="AA301" s="52"/>
      <c r="AB301" s="43">
        <f>AA301*H301</f>
        <v>0</v>
      </c>
      <c r="AC301" s="30"/>
      <c r="AD301" s="43"/>
      <c r="AE301" s="30">
        <f t="shared" si="507"/>
        <v>0</v>
      </c>
      <c r="AF301" s="47">
        <f t="shared" si="479"/>
        <v>0</v>
      </c>
      <c r="AG301" s="30">
        <f t="shared" si="508"/>
        <v>1</v>
      </c>
      <c r="AH301" s="36">
        <f>AG301*H301</f>
        <v>1845.76</v>
      </c>
      <c r="AI301" s="52"/>
      <c r="AJ301" s="43">
        <f t="shared" si="509"/>
        <v>0</v>
      </c>
      <c r="AK301" s="30"/>
      <c r="AL301" s="43"/>
      <c r="AM301" s="30">
        <f t="shared" si="510"/>
        <v>0</v>
      </c>
      <c r="AN301" s="47">
        <f t="shared" si="483"/>
        <v>0</v>
      </c>
      <c r="AO301" s="30">
        <f t="shared" si="511"/>
        <v>1</v>
      </c>
      <c r="AP301" s="36">
        <f>AO301*H301</f>
        <v>1845.76</v>
      </c>
      <c r="AQ301" s="29"/>
    </row>
    <row r="302" spans="1:43" ht="24" customHeight="1" x14ac:dyDescent="0.25">
      <c r="A302" s="93"/>
      <c r="B302" s="15"/>
      <c r="C302" s="15"/>
      <c r="D302" s="15"/>
      <c r="E302" s="15"/>
      <c r="F302" s="3" t="s">
        <v>562</v>
      </c>
      <c r="G302" s="3"/>
      <c r="H302" s="59"/>
      <c r="I302" s="59">
        <v>1144136.95</v>
      </c>
      <c r="J302" s="59"/>
      <c r="K302" s="187"/>
      <c r="L302" s="187"/>
      <c r="M302" s="187"/>
      <c r="N302" s="187"/>
      <c r="O302" s="57" t="s">
        <v>577</v>
      </c>
      <c r="P302" s="61">
        <f>SUM(P6:P301)/2</f>
        <v>53166.7</v>
      </c>
      <c r="Q302" s="60"/>
      <c r="R302" s="20"/>
      <c r="S302" s="57" t="s">
        <v>874</v>
      </c>
      <c r="T302" s="102">
        <f>SUM(T6:T301)/2</f>
        <v>1347833.8101999995</v>
      </c>
      <c r="U302" s="57" t="s">
        <v>577</v>
      </c>
      <c r="V302" s="61">
        <f>SUM(V6:V301)</f>
        <v>92477.384099832794</v>
      </c>
      <c r="W302" s="20"/>
      <c r="X302" s="49"/>
      <c r="Y302" s="57" t="s">
        <v>874</v>
      </c>
      <c r="Z302" s="54">
        <f>SUM(Z6:Z301)/2</f>
        <v>1255356.4261001672</v>
      </c>
      <c r="AA302" s="20"/>
      <c r="AB302" s="38"/>
      <c r="AC302" s="20"/>
      <c r="AD302" s="38"/>
      <c r="AE302" s="20"/>
      <c r="AF302" s="49"/>
      <c r="AG302" s="20"/>
      <c r="AH302" s="54">
        <f>SUM(AH6:AH301)/2</f>
        <v>1255356.4261001672</v>
      </c>
      <c r="AI302" s="20"/>
      <c r="AJ302" s="38">
        <f t="shared" si="509"/>
        <v>0</v>
      </c>
      <c r="AK302" s="20"/>
      <c r="AL302" s="38"/>
      <c r="AM302" s="20"/>
      <c r="AN302" s="49"/>
      <c r="AO302" s="20"/>
      <c r="AP302" s="54">
        <f>SUM(AP6:AP301)/2</f>
        <v>1224345.996100167</v>
      </c>
    </row>
    <row r="303" spans="1:43" ht="14.25" customHeight="1" x14ac:dyDescent="0.25">
      <c r="A303" s="396"/>
      <c r="B303" s="394"/>
      <c r="C303" s="389"/>
      <c r="D303" s="16"/>
      <c r="E303" s="17"/>
      <c r="F303" s="3" t="s">
        <v>563</v>
      </c>
      <c r="G303" s="3"/>
      <c r="H303" s="58"/>
      <c r="I303" s="58">
        <v>256863.05</v>
      </c>
      <c r="J303" s="58"/>
      <c r="K303" s="187"/>
      <c r="L303" s="187"/>
      <c r="M303" s="187"/>
      <c r="N303" s="187"/>
      <c r="O303" s="4"/>
      <c r="P303" s="34"/>
      <c r="Q303" s="4"/>
      <c r="R303" s="4"/>
      <c r="S303" s="4"/>
      <c r="T303" s="34"/>
      <c r="U303" s="4"/>
      <c r="V303" s="34"/>
      <c r="W303" s="4"/>
      <c r="X303" s="45"/>
      <c r="Y303" s="4"/>
      <c r="Z303" s="34"/>
      <c r="AA303" s="4"/>
      <c r="AB303" s="34"/>
      <c r="AC303" s="4"/>
      <c r="AD303" s="34"/>
      <c r="AE303" s="4"/>
      <c r="AF303" s="45"/>
      <c r="AG303" s="4"/>
      <c r="AH303" s="34"/>
      <c r="AI303" s="4"/>
      <c r="AJ303" s="34"/>
      <c r="AK303" s="4"/>
      <c r="AL303" s="34"/>
      <c r="AM303" s="4"/>
      <c r="AN303" s="45"/>
      <c r="AO303" s="4"/>
      <c r="AP303" s="34"/>
    </row>
    <row r="304" spans="1:43" ht="14.25" customHeight="1" x14ac:dyDescent="0.25">
      <c r="A304" s="396"/>
      <c r="B304" s="394"/>
      <c r="C304" s="389"/>
      <c r="D304" s="16"/>
      <c r="E304" s="17"/>
      <c r="F304" s="390" t="s">
        <v>564</v>
      </c>
      <c r="G304" s="389"/>
      <c r="H304" s="58"/>
      <c r="I304" s="58">
        <v>1401000</v>
      </c>
      <c r="J304" s="19"/>
      <c r="K304" s="4"/>
      <c r="L304" s="4"/>
      <c r="M304" s="4"/>
      <c r="N304" s="4"/>
      <c r="O304" s="4"/>
      <c r="P304" s="34"/>
      <c r="Q304" s="4"/>
      <c r="R304" s="4"/>
      <c r="S304" s="4"/>
      <c r="T304" s="34"/>
      <c r="U304" s="4"/>
      <c r="V304" s="34"/>
      <c r="W304" s="4"/>
      <c r="X304" s="45"/>
      <c r="Y304" s="4"/>
      <c r="Z304" s="34"/>
      <c r="AA304" s="4"/>
      <c r="AB304" s="34"/>
      <c r="AC304" s="4"/>
      <c r="AD304" s="34"/>
      <c r="AE304" s="4"/>
      <c r="AF304" s="45"/>
      <c r="AG304" s="4"/>
      <c r="AH304" s="34"/>
      <c r="AI304" s="4"/>
      <c r="AJ304" s="34"/>
      <c r="AK304" s="4"/>
      <c r="AL304" s="34"/>
      <c r="AM304" s="4"/>
      <c r="AN304" s="45"/>
      <c r="AO304" s="4"/>
      <c r="AP304" s="34"/>
    </row>
    <row r="305" spans="1:42" ht="39" customHeight="1" x14ac:dyDescent="0.25">
      <c r="A305" s="396"/>
      <c r="B305" s="394"/>
      <c r="C305" s="389"/>
      <c r="D305" s="16"/>
      <c r="E305" s="17"/>
      <c r="F305" s="390"/>
      <c r="G305" s="389"/>
      <c r="H305" s="395">
        <f>SUM(I299,I284,I274,I223,I218,I206,I185,I166,I138,I130,I116,I107,I105,I66,I62,I44,I22,I17,I6,I96)</f>
        <v>1401000</v>
      </c>
      <c r="I305" s="394"/>
      <c r="J305" s="389"/>
      <c r="K305" s="4"/>
      <c r="L305" s="4"/>
      <c r="M305" s="4"/>
      <c r="N305" s="4"/>
      <c r="O305" s="4"/>
      <c r="P305" s="34"/>
      <c r="Q305" s="4"/>
      <c r="R305" s="4"/>
      <c r="S305" s="4"/>
      <c r="T305" s="34"/>
      <c r="U305" s="4"/>
      <c r="V305" s="34"/>
      <c r="W305" s="4"/>
      <c r="X305" s="45"/>
      <c r="Y305" s="4"/>
      <c r="Z305" s="34"/>
      <c r="AA305" s="4"/>
      <c r="AB305" s="34"/>
      <c r="AC305" s="4"/>
      <c r="AD305" s="34"/>
      <c r="AE305" s="4"/>
      <c r="AF305" s="45"/>
      <c r="AG305" s="4"/>
      <c r="AH305" s="34"/>
      <c r="AI305" s="4"/>
      <c r="AJ305" s="34"/>
      <c r="AK305" s="4"/>
      <c r="AL305" s="34"/>
      <c r="AM305" s="4"/>
      <c r="AN305" s="45"/>
      <c r="AO305" s="4"/>
      <c r="AP305" s="34"/>
    </row>
    <row r="306" spans="1:42" ht="60" customHeight="1" x14ac:dyDescent="0.25">
      <c r="A306" s="94"/>
      <c r="B306" s="18"/>
      <c r="C306" s="18"/>
      <c r="D306" s="18"/>
      <c r="E306" s="18"/>
      <c r="F306" s="18"/>
      <c r="G306" s="18"/>
      <c r="H306" s="18"/>
      <c r="I306" s="18"/>
      <c r="J306" s="18"/>
      <c r="K306" s="21"/>
      <c r="L306" s="21"/>
      <c r="M306" s="21"/>
      <c r="N306" s="21"/>
      <c r="O306" s="21"/>
      <c r="P306" s="39"/>
      <c r="Q306" s="21"/>
      <c r="R306" s="21"/>
      <c r="S306" s="21"/>
      <c r="T306" s="39"/>
      <c r="U306" s="21"/>
      <c r="V306" s="39"/>
      <c r="W306" s="21"/>
      <c r="X306" s="50"/>
      <c r="Y306" s="21"/>
      <c r="Z306" s="39"/>
      <c r="AA306" s="21"/>
      <c r="AB306" s="39"/>
      <c r="AC306" s="21"/>
      <c r="AD306" s="39"/>
      <c r="AE306" s="21"/>
      <c r="AF306" s="50"/>
      <c r="AG306" s="21"/>
      <c r="AH306" s="39"/>
      <c r="AI306" s="21"/>
      <c r="AJ306" s="39"/>
      <c r="AK306" s="21"/>
      <c r="AL306" s="39"/>
      <c r="AM306" s="21"/>
      <c r="AN306" s="50"/>
      <c r="AO306" s="21"/>
      <c r="AP306" s="39"/>
    </row>
    <row r="307" spans="1:42" ht="69.75" customHeight="1" x14ac:dyDescent="0.25">
      <c r="A307" s="397"/>
      <c r="B307" s="394"/>
      <c r="C307" s="394"/>
      <c r="D307" s="394"/>
      <c r="E307" s="394"/>
      <c r="F307" s="394"/>
      <c r="G307" s="394"/>
      <c r="H307" s="394"/>
      <c r="I307" s="394"/>
      <c r="J307" s="389"/>
      <c r="K307" s="4"/>
      <c r="L307" s="4"/>
      <c r="M307" s="4"/>
      <c r="N307" s="4"/>
      <c r="O307" s="4"/>
      <c r="P307" s="34"/>
      <c r="Q307" s="4"/>
      <c r="R307" s="4"/>
      <c r="S307" s="4"/>
      <c r="T307" s="34"/>
      <c r="U307" s="4"/>
      <c r="V307" s="34"/>
      <c r="W307" s="4"/>
      <c r="X307" s="45"/>
      <c r="Y307" s="4"/>
      <c r="Z307" s="34"/>
      <c r="AA307" s="4"/>
      <c r="AB307" s="34"/>
      <c r="AC307" s="4"/>
      <c r="AD307" s="34"/>
      <c r="AE307" s="4"/>
      <c r="AF307" s="45"/>
      <c r="AG307" s="4"/>
      <c r="AH307" s="34"/>
      <c r="AI307" s="4"/>
      <c r="AJ307" s="34"/>
      <c r="AK307" s="4"/>
      <c r="AL307" s="34"/>
      <c r="AM307" s="4"/>
      <c r="AN307" s="45"/>
      <c r="AO307" s="4"/>
      <c r="AP307" s="34"/>
    </row>
    <row r="308" spans="1:42" ht="14.25" customHeight="1" x14ac:dyDescent="0.25"/>
    <row r="309" spans="1:42" ht="14.25" customHeight="1" x14ac:dyDescent="0.25"/>
    <row r="310" spans="1:42" ht="14.25" customHeight="1" x14ac:dyDescent="0.25"/>
    <row r="311" spans="1:42" ht="14.25" customHeight="1" x14ac:dyDescent="0.25"/>
    <row r="312" spans="1:42" ht="14.25" customHeight="1" x14ac:dyDescent="0.25"/>
    <row r="313" spans="1:42" ht="14.25" customHeight="1" x14ac:dyDescent="0.25"/>
    <row r="314" spans="1:42" ht="14.25" customHeight="1" x14ac:dyDescent="0.25"/>
    <row r="315" spans="1:42" ht="14.25" customHeight="1" x14ac:dyDescent="0.25"/>
    <row r="316" spans="1:42" ht="14.25" customHeight="1" x14ac:dyDescent="0.25"/>
    <row r="317" spans="1:42" ht="14.25" customHeight="1" x14ac:dyDescent="0.25"/>
    <row r="318" spans="1:42" ht="14.25" customHeight="1" x14ac:dyDescent="0.25"/>
    <row r="319" spans="1:42" ht="14.25" customHeight="1" x14ac:dyDescent="0.25"/>
    <row r="320" spans="1:42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</sheetData>
  <mergeCells count="32">
    <mergeCell ref="AI3:AP3"/>
    <mergeCell ref="AI4:AJ4"/>
    <mergeCell ref="AK4:AL4"/>
    <mergeCell ref="AM4:AN4"/>
    <mergeCell ref="AO4:AP4"/>
    <mergeCell ref="O3:T3"/>
    <mergeCell ref="U3:Z3"/>
    <mergeCell ref="AA3:AH3"/>
    <mergeCell ref="AA4:AB4"/>
    <mergeCell ref="AC4:AD4"/>
    <mergeCell ref="AE4:AF4"/>
    <mergeCell ref="AG4:AH4"/>
    <mergeCell ref="A307:J307"/>
    <mergeCell ref="W4:X4"/>
    <mergeCell ref="Y4:Z4"/>
    <mergeCell ref="U4:V4"/>
    <mergeCell ref="O4:P4"/>
    <mergeCell ref="Q4:R4"/>
    <mergeCell ref="S4:T4"/>
    <mergeCell ref="A3:J3"/>
    <mergeCell ref="F305:G305"/>
    <mergeCell ref="H305:J305"/>
    <mergeCell ref="A303:C303"/>
    <mergeCell ref="A304:C304"/>
    <mergeCell ref="F304:G304"/>
    <mergeCell ref="A305:C305"/>
    <mergeCell ref="E1:F1"/>
    <mergeCell ref="G1:H1"/>
    <mergeCell ref="I1:J1"/>
    <mergeCell ref="E2:F2"/>
    <mergeCell ref="G2:H2"/>
    <mergeCell ref="I2:J2"/>
  </mergeCells>
  <phoneticPr fontId="30" type="noConversion"/>
  <conditionalFormatting sqref="S7:S8">
    <cfRule type="cellIs" dxfId="204" priority="138" operator="equal">
      <formula>0</formula>
    </cfRule>
  </conditionalFormatting>
  <conditionalFormatting sqref="S13:S14">
    <cfRule type="cellIs" dxfId="203" priority="137" operator="equal">
      <formula>0</formula>
    </cfRule>
  </conditionalFormatting>
  <conditionalFormatting sqref="S16">
    <cfRule type="cellIs" dxfId="202" priority="136" operator="equal">
      <formula>0</formula>
    </cfRule>
  </conditionalFormatting>
  <conditionalFormatting sqref="S18:S21">
    <cfRule type="cellIs" dxfId="201" priority="135" operator="equal">
      <formula>0</formula>
    </cfRule>
  </conditionalFormatting>
  <conditionalFormatting sqref="S24:S31">
    <cfRule type="cellIs" dxfId="200" priority="133" operator="equal">
      <formula>0</formula>
    </cfRule>
  </conditionalFormatting>
  <conditionalFormatting sqref="S33:S38">
    <cfRule type="cellIs" dxfId="199" priority="132" operator="equal">
      <formula>0</formula>
    </cfRule>
  </conditionalFormatting>
  <conditionalFormatting sqref="S40:S43">
    <cfRule type="cellIs" dxfId="198" priority="131" operator="equal">
      <formula>0</formula>
    </cfRule>
  </conditionalFormatting>
  <conditionalFormatting sqref="S46:S51">
    <cfRule type="cellIs" dxfId="197" priority="130" operator="equal">
      <formula>0</formula>
    </cfRule>
  </conditionalFormatting>
  <conditionalFormatting sqref="S53:S57">
    <cfRule type="cellIs" dxfId="196" priority="129" operator="equal">
      <formula>0</formula>
    </cfRule>
  </conditionalFormatting>
  <conditionalFormatting sqref="S59">
    <cfRule type="cellIs" dxfId="195" priority="128" operator="equal">
      <formula>0</formula>
    </cfRule>
  </conditionalFormatting>
  <conditionalFormatting sqref="S61">
    <cfRule type="cellIs" dxfId="194" priority="127" operator="equal">
      <formula>0</formula>
    </cfRule>
  </conditionalFormatting>
  <conditionalFormatting sqref="S63:S65">
    <cfRule type="cellIs" dxfId="193" priority="126" operator="equal">
      <formula>0</formula>
    </cfRule>
  </conditionalFormatting>
  <conditionalFormatting sqref="S68:S74">
    <cfRule type="cellIs" dxfId="192" priority="125" operator="equal">
      <formula>0</formula>
    </cfRule>
  </conditionalFormatting>
  <conditionalFormatting sqref="S76:S78">
    <cfRule type="cellIs" dxfId="191" priority="124" operator="equal">
      <formula>0</formula>
    </cfRule>
  </conditionalFormatting>
  <conditionalFormatting sqref="S80">
    <cfRule type="cellIs" dxfId="190" priority="123" operator="equal">
      <formula>0</formula>
    </cfRule>
  </conditionalFormatting>
  <conditionalFormatting sqref="S82:S92">
    <cfRule type="cellIs" dxfId="189" priority="122" operator="equal">
      <formula>0</formula>
    </cfRule>
  </conditionalFormatting>
  <conditionalFormatting sqref="S94:S95">
    <cfRule type="cellIs" dxfId="188" priority="121" operator="equal">
      <formula>0</formula>
    </cfRule>
  </conditionalFormatting>
  <conditionalFormatting sqref="S97:S104">
    <cfRule type="cellIs" dxfId="187" priority="120" operator="equal">
      <formula>0</formula>
    </cfRule>
  </conditionalFormatting>
  <conditionalFormatting sqref="S106">
    <cfRule type="cellIs" dxfId="186" priority="119" operator="equal">
      <formula>0</formula>
    </cfRule>
  </conditionalFormatting>
  <conditionalFormatting sqref="S108:S115">
    <cfRule type="cellIs" dxfId="185" priority="118" operator="equal">
      <formula>0</formula>
    </cfRule>
  </conditionalFormatting>
  <conditionalFormatting sqref="S118:S124">
    <cfRule type="cellIs" dxfId="184" priority="117" operator="equal">
      <formula>0</formula>
    </cfRule>
  </conditionalFormatting>
  <conditionalFormatting sqref="S126:S129">
    <cfRule type="cellIs" dxfId="183" priority="116" operator="equal">
      <formula>0</formula>
    </cfRule>
  </conditionalFormatting>
  <conditionalFormatting sqref="S131:S137">
    <cfRule type="cellIs" dxfId="182" priority="115" operator="equal">
      <formula>0</formula>
    </cfRule>
  </conditionalFormatting>
  <conditionalFormatting sqref="S139:S165">
    <cfRule type="cellIs" dxfId="181" priority="114" operator="equal">
      <formula>0</formula>
    </cfRule>
  </conditionalFormatting>
  <conditionalFormatting sqref="S167:S184">
    <cfRule type="cellIs" dxfId="180" priority="113" operator="equal">
      <formula>0</formula>
    </cfRule>
  </conditionalFormatting>
  <conditionalFormatting sqref="S186:S205">
    <cfRule type="cellIs" dxfId="179" priority="112" operator="equal">
      <formula>0</formula>
    </cfRule>
  </conditionalFormatting>
  <conditionalFormatting sqref="S219:S222">
    <cfRule type="cellIs" dxfId="178" priority="111" operator="equal">
      <formula>0</formula>
    </cfRule>
  </conditionalFormatting>
  <conditionalFormatting sqref="S225:S238">
    <cfRule type="cellIs" dxfId="177" priority="110" operator="equal">
      <formula>0</formula>
    </cfRule>
  </conditionalFormatting>
  <conditionalFormatting sqref="S240:S252">
    <cfRule type="cellIs" dxfId="176" priority="109" operator="equal">
      <formula>0</formula>
    </cfRule>
  </conditionalFormatting>
  <conditionalFormatting sqref="S254:S261">
    <cfRule type="cellIs" dxfId="175" priority="108" operator="equal">
      <formula>0</formula>
    </cfRule>
  </conditionalFormatting>
  <conditionalFormatting sqref="S263:S273">
    <cfRule type="cellIs" dxfId="174" priority="107" operator="equal">
      <formula>0</formula>
    </cfRule>
  </conditionalFormatting>
  <conditionalFormatting sqref="S275:S283">
    <cfRule type="cellIs" dxfId="173" priority="106" operator="equal">
      <formula>0</formula>
    </cfRule>
  </conditionalFormatting>
  <conditionalFormatting sqref="S286:S290">
    <cfRule type="cellIs" dxfId="172" priority="105" operator="equal">
      <formula>0</formula>
    </cfRule>
  </conditionalFormatting>
  <conditionalFormatting sqref="S292:S298">
    <cfRule type="cellIs" dxfId="171" priority="104" operator="equal">
      <formula>0</formula>
    </cfRule>
  </conditionalFormatting>
  <conditionalFormatting sqref="S300">
    <cfRule type="cellIs" dxfId="170" priority="103" operator="equal">
      <formula>0</formula>
    </cfRule>
  </conditionalFormatting>
  <conditionalFormatting sqref="Y7:Y16">
    <cfRule type="cellIs" dxfId="169" priority="102" operator="equal">
      <formula>0</formula>
    </cfRule>
  </conditionalFormatting>
  <conditionalFormatting sqref="Y18:Y21">
    <cfRule type="cellIs" dxfId="168" priority="101" operator="equal">
      <formula>0</formula>
    </cfRule>
  </conditionalFormatting>
  <conditionalFormatting sqref="Y24:Y31">
    <cfRule type="cellIs" dxfId="167" priority="100" operator="equal">
      <formula>0</formula>
    </cfRule>
  </conditionalFormatting>
  <conditionalFormatting sqref="Y33:Y38">
    <cfRule type="cellIs" dxfId="166" priority="99" operator="equal">
      <formula>0</formula>
    </cfRule>
  </conditionalFormatting>
  <conditionalFormatting sqref="Y40:Y43">
    <cfRule type="cellIs" dxfId="165" priority="98" operator="equal">
      <formula>0</formula>
    </cfRule>
  </conditionalFormatting>
  <conditionalFormatting sqref="Y46:Y51">
    <cfRule type="cellIs" dxfId="164" priority="97" operator="equal">
      <formula>0</formula>
    </cfRule>
  </conditionalFormatting>
  <conditionalFormatting sqref="Y53:Y57">
    <cfRule type="cellIs" dxfId="163" priority="96" operator="equal">
      <formula>0</formula>
    </cfRule>
  </conditionalFormatting>
  <conditionalFormatting sqref="Y59">
    <cfRule type="cellIs" dxfId="162" priority="95" operator="equal">
      <formula>0</formula>
    </cfRule>
  </conditionalFormatting>
  <conditionalFormatting sqref="Y61">
    <cfRule type="cellIs" dxfId="161" priority="94" operator="equal">
      <formula>0</formula>
    </cfRule>
  </conditionalFormatting>
  <conditionalFormatting sqref="Y63:Y65">
    <cfRule type="cellIs" dxfId="160" priority="93" operator="equal">
      <formula>0</formula>
    </cfRule>
  </conditionalFormatting>
  <conditionalFormatting sqref="Y68:Y74">
    <cfRule type="cellIs" dxfId="159" priority="92" operator="equal">
      <formula>0</formula>
    </cfRule>
  </conditionalFormatting>
  <conditionalFormatting sqref="Y76:Y78">
    <cfRule type="cellIs" dxfId="158" priority="91" operator="equal">
      <formula>0</formula>
    </cfRule>
  </conditionalFormatting>
  <conditionalFormatting sqref="Y80">
    <cfRule type="cellIs" dxfId="157" priority="90" operator="equal">
      <formula>0</formula>
    </cfRule>
  </conditionalFormatting>
  <conditionalFormatting sqref="Y82:Y92">
    <cfRule type="cellIs" dxfId="156" priority="89" operator="equal">
      <formula>0</formula>
    </cfRule>
  </conditionalFormatting>
  <conditionalFormatting sqref="Y94:Y95">
    <cfRule type="cellIs" dxfId="155" priority="88" operator="equal">
      <formula>0</formula>
    </cfRule>
  </conditionalFormatting>
  <conditionalFormatting sqref="Y97:Y104">
    <cfRule type="cellIs" dxfId="154" priority="87" operator="equal">
      <formula>0</formula>
    </cfRule>
  </conditionalFormatting>
  <conditionalFormatting sqref="Y106">
    <cfRule type="cellIs" dxfId="153" priority="86" operator="equal">
      <formula>0</formula>
    </cfRule>
  </conditionalFormatting>
  <conditionalFormatting sqref="Y108:Y115">
    <cfRule type="cellIs" dxfId="152" priority="85" operator="equal">
      <formula>0</formula>
    </cfRule>
  </conditionalFormatting>
  <conditionalFormatting sqref="Y118:Y124">
    <cfRule type="cellIs" dxfId="151" priority="84" operator="equal">
      <formula>0</formula>
    </cfRule>
  </conditionalFormatting>
  <conditionalFormatting sqref="Y126:Y129">
    <cfRule type="cellIs" dxfId="150" priority="83" operator="equal">
      <formula>0</formula>
    </cfRule>
  </conditionalFormatting>
  <conditionalFormatting sqref="Y131:Y137">
    <cfRule type="cellIs" dxfId="149" priority="82" operator="equal">
      <formula>0</formula>
    </cfRule>
  </conditionalFormatting>
  <conditionalFormatting sqref="Y139:Y165">
    <cfRule type="cellIs" dxfId="148" priority="81" operator="equal">
      <formula>0</formula>
    </cfRule>
  </conditionalFormatting>
  <conditionalFormatting sqref="Y167:Y184">
    <cfRule type="cellIs" dxfId="147" priority="80" operator="equal">
      <formula>0</formula>
    </cfRule>
  </conditionalFormatting>
  <conditionalFormatting sqref="Y186:Y205">
    <cfRule type="cellIs" dxfId="146" priority="79" operator="equal">
      <formula>0</formula>
    </cfRule>
  </conditionalFormatting>
  <conditionalFormatting sqref="Y207:Y217">
    <cfRule type="cellIs" dxfId="145" priority="78" operator="equal">
      <formula>0</formula>
    </cfRule>
  </conditionalFormatting>
  <conditionalFormatting sqref="Y219:Y222">
    <cfRule type="cellIs" dxfId="144" priority="77" operator="equal">
      <formula>0</formula>
    </cfRule>
  </conditionalFormatting>
  <conditionalFormatting sqref="Y225:Y238">
    <cfRule type="cellIs" dxfId="143" priority="76" operator="equal">
      <formula>0</formula>
    </cfRule>
  </conditionalFormatting>
  <conditionalFormatting sqref="Y240:Y252">
    <cfRule type="cellIs" dxfId="142" priority="75" operator="equal">
      <formula>0</formula>
    </cfRule>
  </conditionalFormatting>
  <conditionalFormatting sqref="Y254:Y261">
    <cfRule type="cellIs" dxfId="141" priority="74" operator="equal">
      <formula>0</formula>
    </cfRule>
  </conditionalFormatting>
  <conditionalFormatting sqref="Y263:Y273">
    <cfRule type="cellIs" dxfId="140" priority="73" operator="equal">
      <formula>0</formula>
    </cfRule>
  </conditionalFormatting>
  <conditionalFormatting sqref="Y275:Y283">
    <cfRule type="cellIs" dxfId="139" priority="72" operator="equal">
      <formula>0</formula>
    </cfRule>
  </conditionalFormatting>
  <conditionalFormatting sqref="Y286:Y290">
    <cfRule type="cellIs" dxfId="138" priority="71" operator="equal">
      <formula>0</formula>
    </cfRule>
  </conditionalFormatting>
  <conditionalFormatting sqref="Y292:Y298">
    <cfRule type="cellIs" dxfId="137" priority="70" operator="equal">
      <formula>0</formula>
    </cfRule>
  </conditionalFormatting>
  <conditionalFormatting sqref="Y300:Y301">
    <cfRule type="cellIs" dxfId="136" priority="69" operator="equal">
      <formula>0</formula>
    </cfRule>
  </conditionalFormatting>
  <conditionalFormatting sqref="AG7:AG16">
    <cfRule type="cellIs" dxfId="135" priority="68" operator="equal">
      <formula>0</formula>
    </cfRule>
  </conditionalFormatting>
  <conditionalFormatting sqref="AG18:AG21">
    <cfRule type="cellIs" dxfId="134" priority="67" operator="equal">
      <formula>0</formula>
    </cfRule>
  </conditionalFormatting>
  <conditionalFormatting sqref="AG24:AG31">
    <cfRule type="cellIs" dxfId="133" priority="66" operator="equal">
      <formula>0</formula>
    </cfRule>
  </conditionalFormatting>
  <conditionalFormatting sqref="AG33:AG38">
    <cfRule type="cellIs" dxfId="132" priority="65" operator="equal">
      <formula>0</formula>
    </cfRule>
  </conditionalFormatting>
  <conditionalFormatting sqref="AG40:AG43">
    <cfRule type="cellIs" dxfId="131" priority="64" operator="equal">
      <formula>0</formula>
    </cfRule>
  </conditionalFormatting>
  <conditionalFormatting sqref="AG46:AG51">
    <cfRule type="cellIs" dxfId="130" priority="63" operator="equal">
      <formula>0</formula>
    </cfRule>
  </conditionalFormatting>
  <conditionalFormatting sqref="AG53:AG57">
    <cfRule type="cellIs" dxfId="129" priority="62" operator="equal">
      <formula>0</formula>
    </cfRule>
  </conditionalFormatting>
  <conditionalFormatting sqref="AG59">
    <cfRule type="cellIs" dxfId="128" priority="61" operator="equal">
      <formula>0</formula>
    </cfRule>
  </conditionalFormatting>
  <conditionalFormatting sqref="AG61">
    <cfRule type="cellIs" dxfId="127" priority="60" operator="equal">
      <formula>0</formula>
    </cfRule>
  </conditionalFormatting>
  <conditionalFormatting sqref="AG63:AG65">
    <cfRule type="cellIs" dxfId="126" priority="59" operator="equal">
      <formula>0</formula>
    </cfRule>
  </conditionalFormatting>
  <conditionalFormatting sqref="AG68:AG74">
    <cfRule type="cellIs" dxfId="125" priority="58" operator="equal">
      <formula>0</formula>
    </cfRule>
  </conditionalFormatting>
  <conditionalFormatting sqref="AG76:AG78">
    <cfRule type="cellIs" dxfId="124" priority="57" operator="equal">
      <formula>0</formula>
    </cfRule>
  </conditionalFormatting>
  <conditionalFormatting sqref="AG80">
    <cfRule type="cellIs" dxfId="123" priority="56" operator="equal">
      <formula>0</formula>
    </cfRule>
  </conditionalFormatting>
  <conditionalFormatting sqref="AG82:AG92">
    <cfRule type="cellIs" dxfId="122" priority="55" operator="equal">
      <formula>0</formula>
    </cfRule>
  </conditionalFormatting>
  <conditionalFormatting sqref="AG94:AG95">
    <cfRule type="cellIs" dxfId="121" priority="54" operator="equal">
      <formula>0</formula>
    </cfRule>
  </conditionalFormatting>
  <conditionalFormatting sqref="AG97:AG104">
    <cfRule type="cellIs" dxfId="120" priority="53" operator="equal">
      <formula>0</formula>
    </cfRule>
  </conditionalFormatting>
  <conditionalFormatting sqref="AG106">
    <cfRule type="cellIs" dxfId="119" priority="52" operator="equal">
      <formula>0</formula>
    </cfRule>
  </conditionalFormatting>
  <conditionalFormatting sqref="AG108:AG115">
    <cfRule type="cellIs" dxfId="118" priority="51" operator="equal">
      <formula>0</formula>
    </cfRule>
  </conditionalFormatting>
  <conditionalFormatting sqref="AG118:AG124">
    <cfRule type="cellIs" dxfId="117" priority="50" operator="equal">
      <formula>0</formula>
    </cfRule>
  </conditionalFormatting>
  <conditionalFormatting sqref="AG126:AG129">
    <cfRule type="cellIs" dxfId="116" priority="49" operator="equal">
      <formula>0</formula>
    </cfRule>
  </conditionalFormatting>
  <conditionalFormatting sqref="AG131:AG137">
    <cfRule type="cellIs" dxfId="115" priority="48" operator="equal">
      <formula>0</formula>
    </cfRule>
  </conditionalFormatting>
  <conditionalFormatting sqref="AG139:AG165">
    <cfRule type="cellIs" dxfId="114" priority="47" operator="equal">
      <formula>0</formula>
    </cfRule>
  </conditionalFormatting>
  <conditionalFormatting sqref="AG167:AG184">
    <cfRule type="cellIs" dxfId="113" priority="46" operator="equal">
      <formula>0</formula>
    </cfRule>
  </conditionalFormatting>
  <conditionalFormatting sqref="AG186:AG205">
    <cfRule type="cellIs" dxfId="112" priority="45" operator="equal">
      <formula>0</formula>
    </cfRule>
  </conditionalFormatting>
  <conditionalFormatting sqref="AG207:AG217">
    <cfRule type="cellIs" dxfId="111" priority="44" operator="equal">
      <formula>0</formula>
    </cfRule>
  </conditionalFormatting>
  <conditionalFormatting sqref="AG219:AG222">
    <cfRule type="cellIs" dxfId="110" priority="43" operator="equal">
      <formula>0</formula>
    </cfRule>
  </conditionalFormatting>
  <conditionalFormatting sqref="AG225:AG238">
    <cfRule type="cellIs" dxfId="109" priority="42" operator="equal">
      <formula>0</formula>
    </cfRule>
  </conditionalFormatting>
  <conditionalFormatting sqref="AG240:AG252">
    <cfRule type="cellIs" dxfId="108" priority="41" operator="equal">
      <formula>0</formula>
    </cfRule>
  </conditionalFormatting>
  <conditionalFormatting sqref="AG254:AG261">
    <cfRule type="cellIs" dxfId="107" priority="40" operator="equal">
      <formula>0</formula>
    </cfRule>
  </conditionalFormatting>
  <conditionalFormatting sqref="AG263:AG273">
    <cfRule type="cellIs" dxfId="106" priority="39" operator="equal">
      <formula>0</formula>
    </cfRule>
  </conditionalFormatting>
  <conditionalFormatting sqref="AG275:AG283">
    <cfRule type="cellIs" dxfId="105" priority="38" operator="equal">
      <formula>0</formula>
    </cfRule>
  </conditionalFormatting>
  <conditionalFormatting sqref="AG286:AG290">
    <cfRule type="cellIs" dxfId="104" priority="37" operator="equal">
      <formula>0</formula>
    </cfRule>
  </conditionalFormatting>
  <conditionalFormatting sqref="AG292:AG298">
    <cfRule type="cellIs" dxfId="103" priority="36" operator="equal">
      <formula>0</formula>
    </cfRule>
  </conditionalFormatting>
  <conditionalFormatting sqref="AG300:AG301">
    <cfRule type="cellIs" dxfId="102" priority="35" operator="equal">
      <formula>0</formula>
    </cfRule>
  </conditionalFormatting>
  <conditionalFormatting sqref="AO7:AO16">
    <cfRule type="cellIs" dxfId="101" priority="34" operator="equal">
      <formula>0</formula>
    </cfRule>
  </conditionalFormatting>
  <conditionalFormatting sqref="AO18:AO21">
    <cfRule type="cellIs" dxfId="100" priority="33" operator="equal">
      <formula>0</formula>
    </cfRule>
  </conditionalFormatting>
  <conditionalFormatting sqref="AO24:AO31">
    <cfRule type="cellIs" dxfId="99" priority="32" operator="equal">
      <formula>0</formula>
    </cfRule>
  </conditionalFormatting>
  <conditionalFormatting sqref="AO33:AO38">
    <cfRule type="cellIs" dxfId="98" priority="31" operator="equal">
      <formula>0</formula>
    </cfRule>
  </conditionalFormatting>
  <conditionalFormatting sqref="AO40:AO43">
    <cfRule type="cellIs" dxfId="97" priority="30" operator="equal">
      <formula>0</formula>
    </cfRule>
  </conditionalFormatting>
  <conditionalFormatting sqref="AO46:AO51">
    <cfRule type="cellIs" dxfId="96" priority="29" operator="equal">
      <formula>0</formula>
    </cfRule>
  </conditionalFormatting>
  <conditionalFormatting sqref="AO53:AO57">
    <cfRule type="cellIs" dxfId="95" priority="28" operator="equal">
      <formula>0</formula>
    </cfRule>
  </conditionalFormatting>
  <conditionalFormatting sqref="AO59">
    <cfRule type="cellIs" dxfId="94" priority="27" operator="equal">
      <formula>0</formula>
    </cfRule>
  </conditionalFormatting>
  <conditionalFormatting sqref="AO61">
    <cfRule type="cellIs" dxfId="93" priority="26" operator="equal">
      <formula>0</formula>
    </cfRule>
  </conditionalFormatting>
  <conditionalFormatting sqref="AO63:AO65">
    <cfRule type="cellIs" dxfId="92" priority="25" operator="equal">
      <formula>0</formula>
    </cfRule>
  </conditionalFormatting>
  <conditionalFormatting sqref="AO68:AO74">
    <cfRule type="cellIs" dxfId="91" priority="24" operator="equal">
      <formula>0</formula>
    </cfRule>
  </conditionalFormatting>
  <conditionalFormatting sqref="AO76:AO78">
    <cfRule type="cellIs" dxfId="90" priority="23" operator="equal">
      <formula>0</formula>
    </cfRule>
  </conditionalFormatting>
  <conditionalFormatting sqref="AO80">
    <cfRule type="cellIs" dxfId="89" priority="22" operator="equal">
      <formula>0</formula>
    </cfRule>
  </conditionalFormatting>
  <conditionalFormatting sqref="AO82:AO92">
    <cfRule type="cellIs" dxfId="88" priority="21" operator="equal">
      <formula>0</formula>
    </cfRule>
  </conditionalFormatting>
  <conditionalFormatting sqref="AO94:AO95">
    <cfRule type="cellIs" dxfId="87" priority="20" operator="equal">
      <formula>0</formula>
    </cfRule>
  </conditionalFormatting>
  <conditionalFormatting sqref="AO97:AO104">
    <cfRule type="cellIs" dxfId="86" priority="19" operator="equal">
      <formula>0</formula>
    </cfRule>
  </conditionalFormatting>
  <conditionalFormatting sqref="AO106">
    <cfRule type="cellIs" dxfId="85" priority="18" operator="equal">
      <formula>0</formula>
    </cfRule>
  </conditionalFormatting>
  <conditionalFormatting sqref="AO108:AO115">
    <cfRule type="cellIs" dxfId="84" priority="17" operator="equal">
      <formula>0</formula>
    </cfRule>
  </conditionalFormatting>
  <conditionalFormatting sqref="AO118:AO124">
    <cfRule type="cellIs" dxfId="83" priority="16" operator="equal">
      <formula>0</formula>
    </cfRule>
  </conditionalFormatting>
  <conditionalFormatting sqref="AO126:AO129">
    <cfRule type="cellIs" dxfId="82" priority="15" operator="equal">
      <formula>0</formula>
    </cfRule>
  </conditionalFormatting>
  <conditionalFormatting sqref="AO131:AO137">
    <cfRule type="cellIs" dxfId="81" priority="14" operator="equal">
      <formula>0</formula>
    </cfRule>
  </conditionalFormatting>
  <conditionalFormatting sqref="AO139:AO165">
    <cfRule type="cellIs" dxfId="80" priority="13" operator="equal">
      <formula>0</formula>
    </cfRule>
  </conditionalFormatting>
  <conditionalFormatting sqref="AO167:AO184">
    <cfRule type="cellIs" dxfId="79" priority="12" operator="equal">
      <formula>0</formula>
    </cfRule>
  </conditionalFormatting>
  <conditionalFormatting sqref="AO186:AO205">
    <cfRule type="cellIs" dxfId="78" priority="11" operator="equal">
      <formula>0</formula>
    </cfRule>
  </conditionalFormatting>
  <conditionalFormatting sqref="AO207:AO217">
    <cfRule type="cellIs" dxfId="77" priority="10" operator="equal">
      <formula>0</formula>
    </cfRule>
  </conditionalFormatting>
  <conditionalFormatting sqref="AO219:AO222">
    <cfRule type="cellIs" dxfId="76" priority="9" operator="equal">
      <formula>0</formula>
    </cfRule>
  </conditionalFormatting>
  <conditionalFormatting sqref="AO225:AO238">
    <cfRule type="cellIs" dxfId="75" priority="8" operator="equal">
      <formula>0</formula>
    </cfRule>
  </conditionalFormatting>
  <conditionalFormatting sqref="AO240:AO252">
    <cfRule type="cellIs" dxfId="74" priority="7" operator="equal">
      <formula>0</formula>
    </cfRule>
  </conditionalFormatting>
  <conditionalFormatting sqref="AO254:AO261">
    <cfRule type="cellIs" dxfId="73" priority="6" operator="equal">
      <formula>0</formula>
    </cfRule>
  </conditionalFormatting>
  <conditionalFormatting sqref="AO263:AO273">
    <cfRule type="cellIs" dxfId="72" priority="5" operator="equal">
      <formula>0</formula>
    </cfRule>
  </conditionalFormatting>
  <conditionalFormatting sqref="AO275:AO283">
    <cfRule type="cellIs" dxfId="71" priority="4" operator="equal">
      <formula>0</formula>
    </cfRule>
  </conditionalFormatting>
  <conditionalFormatting sqref="AO286:AO290">
    <cfRule type="cellIs" dxfId="70" priority="3" operator="equal">
      <formula>0</formula>
    </cfRule>
  </conditionalFormatting>
  <conditionalFormatting sqref="AO292:AO298">
    <cfRule type="cellIs" dxfId="69" priority="2" operator="equal">
      <formula>0</formula>
    </cfRule>
  </conditionalFormatting>
  <conditionalFormatting sqref="AO300:AO301">
    <cfRule type="cellIs" dxfId="68" priority="1" operator="equal">
      <formula>0</formula>
    </cfRule>
  </conditionalFormatting>
  <printOptions horizontalCentered="1"/>
  <pageMargins left="0.19685039370078741" right="0.19685039370078741" top="0.39370078740157483" bottom="0.78740157480314965" header="0" footer="0"/>
  <pageSetup paperSize="9" scale="62" orientation="portrait" horizontalDpi="300" verticalDpi="300" r:id="rId1"/>
  <headerFooter>
    <oddHeader>&amp;L</oddHeader>
    <oddFooter>&amp;L &amp;CResponsável técnica: Anna Gabriela Fechine - CREA: 161574308-1 &amp;R&amp;P/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P331"/>
  <sheetViews>
    <sheetView view="pageBreakPreview" topLeftCell="D1" zoomScale="70" zoomScaleNormal="70" zoomScaleSheetLayoutView="70" zoomScalePageLayoutView="55" workbookViewId="0">
      <pane ySplit="17" topLeftCell="A18" activePane="bottomLeft" state="frozen"/>
      <selection pane="bottomLeft" activeCell="A15" sqref="A1:XFD15"/>
    </sheetView>
  </sheetViews>
  <sheetFormatPr defaultColWidth="8.19921875" defaultRowHeight="13.2" x14ac:dyDescent="0.25"/>
  <cols>
    <col min="1" max="1" width="8.09765625" style="175" customWidth="1"/>
    <col min="2" max="2" width="52.69921875" style="175" customWidth="1"/>
    <col min="3" max="3" width="5.3984375" style="175" customWidth="1"/>
    <col min="4" max="4" width="11.59765625" style="175" customWidth="1"/>
    <col min="5" max="5" width="14.09765625" style="175" customWidth="1"/>
    <col min="6" max="6" width="19.19921875" style="175" customWidth="1"/>
    <col min="7" max="7" width="15.69921875" style="175" customWidth="1"/>
    <col min="8" max="8" width="14.09765625" style="175" customWidth="1"/>
    <col min="9" max="9" width="15.69921875" style="175" customWidth="1"/>
    <col min="10" max="11" width="14.09765625" style="175" customWidth="1"/>
    <col min="12" max="12" width="16.19921875" style="175" customWidth="1"/>
    <col min="13" max="13" width="14.09765625" style="175" customWidth="1"/>
    <col min="14" max="14" width="10.69921875" style="175" bestFit="1" customWidth="1"/>
    <col min="15" max="15" width="12.09765625" style="175" bestFit="1" customWidth="1"/>
    <col min="16" max="17" width="8.19921875" style="175"/>
    <col min="18" max="18" width="23.8984375" style="175" customWidth="1"/>
    <col min="19" max="16384" width="8.19921875" style="175"/>
  </cols>
  <sheetData>
    <row r="1" spans="1:13" hidden="1" x14ac:dyDescent="0.25">
      <c r="A1" s="266"/>
      <c r="B1" s="266"/>
      <c r="C1" s="266"/>
      <c r="D1" s="266"/>
      <c r="E1" s="266"/>
      <c r="F1" s="266"/>
    </row>
    <row r="2" spans="1:13" ht="17.399999999999999" hidden="1" x14ac:dyDescent="0.25">
      <c r="A2" s="444" t="s">
        <v>877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</row>
    <row r="3" spans="1:13" hidden="1" x14ac:dyDescent="0.25">
      <c r="A3" s="267"/>
      <c r="B3" s="268"/>
      <c r="C3" s="267"/>
      <c r="D3" s="267"/>
      <c r="E3" s="267"/>
      <c r="F3" s="269"/>
      <c r="G3" s="267"/>
      <c r="H3" s="267"/>
      <c r="I3" s="269"/>
      <c r="J3" s="269"/>
      <c r="K3" s="270"/>
      <c r="L3" s="270"/>
      <c r="M3" s="271"/>
    </row>
    <row r="4" spans="1:13" s="277" customFormat="1" ht="15" hidden="1" customHeight="1" x14ac:dyDescent="0.25">
      <c r="A4" s="272" t="s">
        <v>878</v>
      </c>
      <c r="B4" s="273" t="s">
        <v>879</v>
      </c>
      <c r="C4" s="274" t="s">
        <v>880</v>
      </c>
      <c r="D4" s="275"/>
      <c r="E4" s="275"/>
      <c r="F4" s="275"/>
      <c r="G4" s="275"/>
      <c r="H4" s="274" t="s">
        <v>881</v>
      </c>
      <c r="I4" s="275"/>
      <c r="J4" s="445" t="s">
        <v>882</v>
      </c>
      <c r="K4" s="446"/>
      <c r="L4" s="274" t="s">
        <v>883</v>
      </c>
      <c r="M4" s="276">
        <v>45838</v>
      </c>
    </row>
    <row r="5" spans="1:13" hidden="1" x14ac:dyDescent="0.25">
      <c r="A5" s="278"/>
      <c r="B5" s="279"/>
      <c r="C5" s="280"/>
      <c r="D5" s="281"/>
      <c r="E5" s="282"/>
      <c r="F5" s="281"/>
      <c r="G5" s="282"/>
      <c r="H5" s="280"/>
      <c r="I5" s="281"/>
      <c r="J5" s="447" t="s">
        <v>884</v>
      </c>
      <c r="K5" s="448"/>
      <c r="L5" s="280"/>
      <c r="M5" s="283"/>
    </row>
    <row r="6" spans="1:13" hidden="1" x14ac:dyDescent="0.25">
      <c r="A6" s="267"/>
      <c r="B6" s="284"/>
      <c r="C6" s="285"/>
      <c r="D6" s="285"/>
      <c r="E6" s="285"/>
      <c r="F6" s="286"/>
      <c r="G6" s="285"/>
      <c r="H6" s="285"/>
      <c r="I6" s="285"/>
      <c r="J6" s="285"/>
      <c r="K6" s="287"/>
      <c r="L6" s="287"/>
      <c r="M6" s="288"/>
    </row>
    <row r="7" spans="1:13" s="277" customFormat="1" hidden="1" x14ac:dyDescent="0.25">
      <c r="A7" s="272" t="s">
        <v>885</v>
      </c>
      <c r="B7" s="273"/>
      <c r="C7" s="275"/>
      <c r="D7" s="274" t="s">
        <v>886</v>
      </c>
      <c r="E7" s="275"/>
      <c r="F7" s="274" t="s">
        <v>887</v>
      </c>
      <c r="G7" s="275"/>
      <c r="H7" s="275"/>
      <c r="I7" s="275"/>
      <c r="J7" s="274" t="s">
        <v>888</v>
      </c>
      <c r="K7" s="289"/>
      <c r="L7" s="274" t="s">
        <v>889</v>
      </c>
      <c r="M7" s="276">
        <v>45579</v>
      </c>
    </row>
    <row r="8" spans="1:13" hidden="1" x14ac:dyDescent="0.25">
      <c r="A8" s="278" t="s">
        <v>890</v>
      </c>
      <c r="B8" s="279"/>
      <c r="C8" s="290"/>
      <c r="D8" s="280" t="s">
        <v>891</v>
      </c>
      <c r="E8" s="282"/>
      <c r="F8" s="280"/>
      <c r="G8" s="282"/>
      <c r="H8" s="281"/>
      <c r="I8" s="290"/>
      <c r="J8" s="280"/>
      <c r="K8" s="291"/>
      <c r="L8" s="292"/>
      <c r="M8" s="283"/>
    </row>
    <row r="9" spans="1:13" hidden="1" x14ac:dyDescent="0.25">
      <c r="A9" s="267"/>
      <c r="B9" s="284"/>
      <c r="C9" s="285"/>
      <c r="D9" s="285"/>
      <c r="E9" s="285"/>
      <c r="F9" s="286"/>
      <c r="G9" s="285"/>
      <c r="H9" s="285"/>
      <c r="I9" s="285"/>
      <c r="J9" s="285"/>
      <c r="K9" s="287"/>
      <c r="L9" s="287"/>
      <c r="M9" s="288"/>
    </row>
    <row r="10" spans="1:13" s="277" customFormat="1" ht="39.6" hidden="1" x14ac:dyDescent="0.25">
      <c r="A10" s="358" t="s">
        <v>892</v>
      </c>
      <c r="B10" s="273" t="s">
        <v>893</v>
      </c>
      <c r="C10" s="293"/>
      <c r="D10" s="275"/>
      <c r="E10" s="294"/>
      <c r="F10" s="295" t="s">
        <v>894</v>
      </c>
      <c r="G10" s="275"/>
      <c r="H10" s="296" t="s">
        <v>895</v>
      </c>
      <c r="I10" s="297"/>
      <c r="J10" s="296" t="s">
        <v>896</v>
      </c>
      <c r="K10" s="297"/>
      <c r="L10" s="275" t="s">
        <v>897</v>
      </c>
      <c r="M10" s="298"/>
    </row>
    <row r="11" spans="1:13" ht="18" hidden="1" x14ac:dyDescent="0.25">
      <c r="A11" s="299"/>
      <c r="B11" s="300"/>
      <c r="C11" s="290"/>
      <c r="D11" s="282"/>
      <c r="E11" s="301"/>
      <c r="F11" s="302"/>
      <c r="G11" s="282"/>
      <c r="H11" s="449" t="s">
        <v>898</v>
      </c>
      <c r="I11" s="450"/>
      <c r="J11" s="451" t="s">
        <v>1081</v>
      </c>
      <c r="K11" s="452"/>
      <c r="L11" s="453" t="s">
        <v>979</v>
      </c>
      <c r="M11" s="454"/>
    </row>
    <row r="12" spans="1:13" hidden="1" x14ac:dyDescent="0.25">
      <c r="A12" s="267"/>
      <c r="B12" s="284"/>
      <c r="C12" s="285"/>
      <c r="D12" s="285"/>
      <c r="E12" s="285"/>
      <c r="F12" s="286"/>
      <c r="G12" s="285"/>
      <c r="H12" s="285"/>
      <c r="I12" s="285"/>
      <c r="J12" s="285"/>
      <c r="K12" s="287"/>
      <c r="L12" s="287"/>
      <c r="M12" s="288"/>
    </row>
    <row r="13" spans="1:13" s="277" customFormat="1" ht="25.5" hidden="1" customHeight="1" x14ac:dyDescent="0.25">
      <c r="A13" s="272" t="s">
        <v>899</v>
      </c>
      <c r="B13" s="435" t="s">
        <v>900</v>
      </c>
      <c r="C13" s="435"/>
      <c r="D13" s="435"/>
      <c r="E13" s="436"/>
      <c r="F13" s="274" t="s">
        <v>901</v>
      </c>
      <c r="G13" s="289"/>
      <c r="H13" s="274" t="s">
        <v>902</v>
      </c>
      <c r="I13" s="289"/>
      <c r="J13" s="274" t="s">
        <v>903</v>
      </c>
      <c r="K13" s="303"/>
      <c r="L13" s="274" t="s">
        <v>904</v>
      </c>
      <c r="M13" s="298"/>
    </row>
    <row r="14" spans="1:13" ht="15.6" hidden="1" x14ac:dyDescent="0.25">
      <c r="A14" s="304"/>
      <c r="B14" s="305"/>
      <c r="C14" s="305"/>
      <c r="D14" s="305"/>
      <c r="E14" s="306"/>
      <c r="F14" s="437">
        <f>F316</f>
        <v>1401000.0039999997</v>
      </c>
      <c r="G14" s="438"/>
      <c r="H14" s="439">
        <f>K324</f>
        <v>108696.72334</v>
      </c>
      <c r="I14" s="440"/>
      <c r="J14" s="437">
        <f>L324</f>
        <v>240825.52333999999</v>
      </c>
      <c r="K14" s="438"/>
      <c r="L14" s="437">
        <f>F14-J14</f>
        <v>1160174.4806599997</v>
      </c>
      <c r="M14" s="438"/>
    </row>
    <row r="15" spans="1:13" hidden="1" x14ac:dyDescent="0.25">
      <c r="A15" s="266"/>
      <c r="B15" s="266"/>
      <c r="C15" s="266"/>
      <c r="D15" s="266"/>
      <c r="E15" s="266"/>
      <c r="F15" s="266"/>
    </row>
    <row r="16" spans="1:13" s="110" customFormat="1" ht="33" customHeight="1" x14ac:dyDescent="0.25">
      <c r="A16" s="109" t="s">
        <v>905</v>
      </c>
      <c r="B16" s="109" t="s">
        <v>906</v>
      </c>
      <c r="C16" s="434" t="s">
        <v>907</v>
      </c>
      <c r="D16" s="434"/>
      <c r="E16" s="434"/>
      <c r="F16" s="434"/>
      <c r="G16" s="434" t="s">
        <v>908</v>
      </c>
      <c r="H16" s="434"/>
      <c r="I16" s="434"/>
      <c r="J16" s="434" t="s">
        <v>909</v>
      </c>
      <c r="K16" s="434"/>
      <c r="L16" s="434"/>
      <c r="M16" s="432" t="s">
        <v>910</v>
      </c>
    </row>
    <row r="17" spans="1:16" s="112" customFormat="1" ht="60.75" customHeight="1" x14ac:dyDescent="0.25">
      <c r="A17" s="111"/>
      <c r="B17" s="111"/>
      <c r="C17" s="111" t="s">
        <v>911</v>
      </c>
      <c r="D17" s="111" t="s">
        <v>567</v>
      </c>
      <c r="E17" s="111" t="s">
        <v>912</v>
      </c>
      <c r="F17" s="111" t="s">
        <v>913</v>
      </c>
      <c r="G17" s="111" t="s">
        <v>914</v>
      </c>
      <c r="H17" s="111" t="s">
        <v>915</v>
      </c>
      <c r="I17" s="111" t="s">
        <v>916</v>
      </c>
      <c r="J17" s="111" t="s">
        <v>914</v>
      </c>
      <c r="K17" s="111" t="s">
        <v>915</v>
      </c>
      <c r="L17" s="111" t="s">
        <v>916</v>
      </c>
      <c r="M17" s="433"/>
    </row>
    <row r="18" spans="1:16" x14ac:dyDescent="0.25">
      <c r="A18" s="307"/>
      <c r="B18" s="307"/>
      <c r="C18" s="307"/>
      <c r="D18" s="307"/>
      <c r="E18" s="307"/>
      <c r="F18" s="307"/>
      <c r="G18" s="308"/>
      <c r="H18" s="308"/>
      <c r="I18" s="308"/>
      <c r="J18" s="308"/>
      <c r="K18" s="308"/>
      <c r="L18" s="308"/>
      <c r="M18" s="308"/>
    </row>
    <row r="19" spans="1:16" ht="30.75" customHeight="1" x14ac:dyDescent="0.25">
      <c r="A19" s="113" t="s">
        <v>917</v>
      </c>
      <c r="B19" s="114" t="s">
        <v>20</v>
      </c>
      <c r="C19" s="115"/>
      <c r="D19" s="328"/>
      <c r="E19" s="329"/>
      <c r="F19" s="330">
        <f>SUM(F20:F29)</f>
        <v>73151.733999999997</v>
      </c>
      <c r="G19" s="116"/>
      <c r="H19" s="116"/>
      <c r="I19" s="116"/>
      <c r="J19" s="117">
        <f>SUM(J20:J29)+0.01</f>
        <v>70466.999999999985</v>
      </c>
      <c r="K19" s="117">
        <f>SUM(K20:K29)</f>
        <v>2684.73</v>
      </c>
      <c r="L19" s="117">
        <f>J19+K19</f>
        <v>73151.729999999981</v>
      </c>
      <c r="M19" s="118">
        <f>L19/F19</f>
        <v>0.99999994531913605</v>
      </c>
    </row>
    <row r="20" spans="1:16" ht="26.4" x14ac:dyDescent="0.25">
      <c r="A20" s="119" t="s">
        <v>597</v>
      </c>
      <c r="B20" s="309" t="s">
        <v>23</v>
      </c>
      <c r="C20" s="310" t="s">
        <v>24</v>
      </c>
      <c r="D20" s="324">
        <v>10</v>
      </c>
      <c r="E20" s="324">
        <v>311.37</v>
      </c>
      <c r="F20" s="331">
        <f>E20*D20</f>
        <v>3113.7</v>
      </c>
      <c r="G20" s="121">
        <v>10</v>
      </c>
      <c r="H20" s="121"/>
      <c r="I20" s="121">
        <v>10</v>
      </c>
      <c r="J20" s="121">
        <f>TRUNC(E20*G20,2)</f>
        <v>3113.7</v>
      </c>
      <c r="K20" s="121">
        <f>TRUNC(E20*H20,2)</f>
        <v>0</v>
      </c>
      <c r="L20" s="121">
        <f>J20+K20</f>
        <v>3113.7</v>
      </c>
      <c r="M20" s="122">
        <f>L20/F20</f>
        <v>1</v>
      </c>
      <c r="N20" s="179">
        <f>D20-I20</f>
        <v>0</v>
      </c>
    </row>
    <row r="21" spans="1:16" ht="24.75" customHeight="1" x14ac:dyDescent="0.25">
      <c r="A21" s="123" t="s">
        <v>600</v>
      </c>
      <c r="B21" s="309" t="s">
        <v>27</v>
      </c>
      <c r="C21" s="310" t="s">
        <v>24</v>
      </c>
      <c r="D21" s="324">
        <v>176</v>
      </c>
      <c r="E21" s="324">
        <v>92.8</v>
      </c>
      <c r="F21" s="331">
        <f t="shared" ref="F21:F29" si="0">E21*D21</f>
        <v>16332.8</v>
      </c>
      <c r="G21" s="121">
        <v>176</v>
      </c>
      <c r="H21" s="121"/>
      <c r="I21" s="121">
        <v>176</v>
      </c>
      <c r="J21" s="121">
        <f t="shared" ref="J21:J29" si="1">TRUNC(E21*G21,2)</f>
        <v>16332.8</v>
      </c>
      <c r="K21" s="121">
        <f t="shared" ref="K21:K34" si="2">TRUNC(E21*H21,2)</f>
        <v>0</v>
      </c>
      <c r="L21" s="121">
        <f t="shared" ref="L21:L29" si="3">J21+K21</f>
        <v>16332.8</v>
      </c>
      <c r="M21" s="122">
        <f t="shared" ref="M21:M29" si="4">L21/F21</f>
        <v>1</v>
      </c>
      <c r="N21" s="215">
        <f>D21-I21</f>
        <v>0</v>
      </c>
    </row>
    <row r="22" spans="1:16" ht="26.4" x14ac:dyDescent="0.25">
      <c r="A22" s="218" t="s">
        <v>598</v>
      </c>
      <c r="B22" s="309" t="s">
        <v>30</v>
      </c>
      <c r="C22" s="310" t="s">
        <v>31</v>
      </c>
      <c r="D22" s="324">
        <v>1</v>
      </c>
      <c r="E22" s="324">
        <v>1140.8499999999999</v>
      </c>
      <c r="F22" s="331">
        <f t="shared" si="0"/>
        <v>1140.8499999999999</v>
      </c>
      <c r="G22" s="121">
        <v>1</v>
      </c>
      <c r="H22" s="121"/>
      <c r="I22" s="121">
        <f t="shared" ref="I22:I29" si="5">G22+H22</f>
        <v>1</v>
      </c>
      <c r="J22" s="121">
        <f t="shared" si="1"/>
        <v>1140.8499999999999</v>
      </c>
      <c r="K22" s="121">
        <f t="shared" si="2"/>
        <v>0</v>
      </c>
      <c r="L22" s="121">
        <f t="shared" si="3"/>
        <v>1140.8499999999999</v>
      </c>
      <c r="M22" s="122">
        <f t="shared" si="4"/>
        <v>1</v>
      </c>
      <c r="N22" s="179">
        <f t="shared" ref="N22:N34" si="6">D22-I22</f>
        <v>0</v>
      </c>
    </row>
    <row r="23" spans="1:16" ht="39.6" x14ac:dyDescent="0.25">
      <c r="A23" s="218" t="s">
        <v>601</v>
      </c>
      <c r="B23" s="309" t="s">
        <v>33</v>
      </c>
      <c r="C23" s="310" t="s">
        <v>31</v>
      </c>
      <c r="D23" s="324">
        <v>1</v>
      </c>
      <c r="E23" s="324">
        <v>4511.1899999999996</v>
      </c>
      <c r="F23" s="331">
        <f t="shared" si="0"/>
        <v>4511.1899999999996</v>
      </c>
      <c r="G23" s="124">
        <v>1</v>
      </c>
      <c r="H23" s="124"/>
      <c r="I23" s="121">
        <f t="shared" si="5"/>
        <v>1</v>
      </c>
      <c r="J23" s="124">
        <f t="shared" si="1"/>
        <v>4511.1899999999996</v>
      </c>
      <c r="K23" s="124">
        <f t="shared" si="2"/>
        <v>0</v>
      </c>
      <c r="L23" s="121">
        <f t="shared" si="3"/>
        <v>4511.1899999999996</v>
      </c>
      <c r="M23" s="122">
        <f t="shared" si="4"/>
        <v>1</v>
      </c>
      <c r="N23" s="215">
        <f>D23-I23</f>
        <v>0</v>
      </c>
    </row>
    <row r="24" spans="1:16" x14ac:dyDescent="0.25">
      <c r="A24" s="218" t="s">
        <v>599</v>
      </c>
      <c r="B24" s="309" t="s">
        <v>35</v>
      </c>
      <c r="C24" s="310" t="s">
        <v>31</v>
      </c>
      <c r="D24" s="324">
        <v>1</v>
      </c>
      <c r="E24" s="324">
        <v>4397.6099999999997</v>
      </c>
      <c r="F24" s="331">
        <f t="shared" si="0"/>
        <v>4397.6099999999997</v>
      </c>
      <c r="G24" s="124">
        <v>1</v>
      </c>
      <c r="H24" s="124"/>
      <c r="I24" s="121">
        <f t="shared" si="5"/>
        <v>1</v>
      </c>
      <c r="J24" s="124">
        <f t="shared" si="1"/>
        <v>4397.6099999999997</v>
      </c>
      <c r="K24" s="124">
        <f t="shared" si="2"/>
        <v>0</v>
      </c>
      <c r="L24" s="121">
        <f t="shared" si="3"/>
        <v>4397.6099999999997</v>
      </c>
      <c r="M24" s="122">
        <f t="shared" si="4"/>
        <v>1</v>
      </c>
      <c r="N24" s="179">
        <f t="shared" si="6"/>
        <v>0</v>
      </c>
    </row>
    <row r="25" spans="1:16" ht="39.6" x14ac:dyDescent="0.25">
      <c r="A25" s="218" t="s">
        <v>602</v>
      </c>
      <c r="B25" s="309" t="s">
        <v>37</v>
      </c>
      <c r="C25" s="310" t="s">
        <v>24</v>
      </c>
      <c r="D25" s="324">
        <v>2.52</v>
      </c>
      <c r="E25" s="324">
        <v>831.62</v>
      </c>
      <c r="F25" s="331">
        <f t="shared" si="0"/>
        <v>2095.6824000000001</v>
      </c>
      <c r="G25" s="124">
        <v>2.52</v>
      </c>
      <c r="H25" s="124"/>
      <c r="I25" s="121">
        <f t="shared" si="5"/>
        <v>2.52</v>
      </c>
      <c r="J25" s="124">
        <f t="shared" si="1"/>
        <v>2095.6799999999998</v>
      </c>
      <c r="K25" s="124">
        <f t="shared" si="2"/>
        <v>0</v>
      </c>
      <c r="L25" s="121">
        <f t="shared" si="3"/>
        <v>2095.6799999999998</v>
      </c>
      <c r="M25" s="122">
        <f t="shared" si="4"/>
        <v>0.99999885478830175</v>
      </c>
      <c r="N25" s="179">
        <f t="shared" si="6"/>
        <v>0</v>
      </c>
      <c r="O25" s="355"/>
    </row>
    <row r="26" spans="1:16" ht="39.6" x14ac:dyDescent="0.25">
      <c r="A26" s="123" t="s">
        <v>603</v>
      </c>
      <c r="B26" s="309" t="s">
        <v>39</v>
      </c>
      <c r="C26" s="310" t="s">
        <v>24</v>
      </c>
      <c r="D26" s="324">
        <v>20</v>
      </c>
      <c r="E26" s="324">
        <v>893.23</v>
      </c>
      <c r="F26" s="331">
        <f t="shared" si="0"/>
        <v>17864.599999999999</v>
      </c>
      <c r="G26" s="124">
        <v>20</v>
      </c>
      <c r="H26" s="124"/>
      <c r="I26" s="121">
        <f t="shared" si="5"/>
        <v>20</v>
      </c>
      <c r="J26" s="124">
        <f t="shared" si="1"/>
        <v>17864.599999999999</v>
      </c>
      <c r="K26" s="124">
        <f t="shared" si="2"/>
        <v>0</v>
      </c>
      <c r="L26" s="121">
        <f t="shared" si="3"/>
        <v>17864.599999999999</v>
      </c>
      <c r="M26" s="122">
        <f t="shared" si="4"/>
        <v>1</v>
      </c>
      <c r="N26" s="179">
        <f t="shared" si="6"/>
        <v>0</v>
      </c>
    </row>
    <row r="27" spans="1:16" ht="39.6" x14ac:dyDescent="0.25">
      <c r="A27" s="123" t="s">
        <v>604</v>
      </c>
      <c r="B27" s="309" t="s">
        <v>41</v>
      </c>
      <c r="C27" s="310" t="s">
        <v>24</v>
      </c>
      <c r="D27" s="324">
        <v>20</v>
      </c>
      <c r="E27" s="324">
        <v>732.78</v>
      </c>
      <c r="F27" s="331">
        <f t="shared" si="0"/>
        <v>14655.599999999999</v>
      </c>
      <c r="G27" s="124">
        <v>20</v>
      </c>
      <c r="H27" s="124"/>
      <c r="I27" s="121">
        <f t="shared" si="5"/>
        <v>20</v>
      </c>
      <c r="J27" s="124">
        <f t="shared" si="1"/>
        <v>14655.6</v>
      </c>
      <c r="K27" s="124">
        <f t="shared" si="2"/>
        <v>0</v>
      </c>
      <c r="L27" s="121">
        <f t="shared" si="3"/>
        <v>14655.6</v>
      </c>
      <c r="M27" s="122">
        <f t="shared" si="4"/>
        <v>1.0000000000000002</v>
      </c>
      <c r="N27" s="179">
        <f t="shared" si="6"/>
        <v>0</v>
      </c>
    </row>
    <row r="28" spans="1:16" ht="22.5" customHeight="1" x14ac:dyDescent="0.25">
      <c r="A28" s="218" t="s">
        <v>605</v>
      </c>
      <c r="B28" s="309" t="s">
        <v>43</v>
      </c>
      <c r="C28" s="310" t="s">
        <v>24</v>
      </c>
      <c r="D28" s="324">
        <v>1129.6400000000001</v>
      </c>
      <c r="E28" s="324">
        <v>6.94</v>
      </c>
      <c r="F28" s="331">
        <f t="shared" si="0"/>
        <v>7839.7016000000012</v>
      </c>
      <c r="G28" s="124">
        <v>742.79</v>
      </c>
      <c r="H28" s="125">
        <f>D28-G28</f>
        <v>386.85000000000014</v>
      </c>
      <c r="I28" s="121">
        <f t="shared" si="5"/>
        <v>1129.6400000000001</v>
      </c>
      <c r="J28" s="124">
        <f t="shared" si="1"/>
        <v>5154.96</v>
      </c>
      <c r="K28" s="124">
        <f t="shared" si="2"/>
        <v>2684.73</v>
      </c>
      <c r="L28" s="125">
        <f>(J28+K28)+0.01</f>
        <v>7839.7000000000007</v>
      </c>
      <c r="M28" s="122">
        <f t="shared" si="4"/>
        <v>0.9999997959105994</v>
      </c>
      <c r="N28" s="179">
        <f t="shared" si="6"/>
        <v>0</v>
      </c>
      <c r="P28" s="322" t="s">
        <v>1082</v>
      </c>
    </row>
    <row r="29" spans="1:16" ht="39.6" x14ac:dyDescent="0.25">
      <c r="A29" s="123" t="s">
        <v>606</v>
      </c>
      <c r="B29" s="309" t="s">
        <v>45</v>
      </c>
      <c r="C29" s="310" t="s">
        <v>24</v>
      </c>
      <c r="D29" s="324">
        <v>4000</v>
      </c>
      <c r="E29" s="324">
        <v>0.3</v>
      </c>
      <c r="F29" s="331">
        <f t="shared" si="0"/>
        <v>1200</v>
      </c>
      <c r="G29" s="124">
        <v>4000</v>
      </c>
      <c r="H29" s="124"/>
      <c r="I29" s="121">
        <f t="shared" si="5"/>
        <v>4000</v>
      </c>
      <c r="J29" s="124">
        <f t="shared" si="1"/>
        <v>1200</v>
      </c>
      <c r="K29" s="124">
        <f t="shared" si="2"/>
        <v>0</v>
      </c>
      <c r="L29" s="121">
        <f t="shared" si="3"/>
        <v>1200</v>
      </c>
      <c r="M29" s="122">
        <f t="shared" si="4"/>
        <v>1</v>
      </c>
      <c r="N29" s="215">
        <f>D29-I29</f>
        <v>0</v>
      </c>
    </row>
    <row r="30" spans="1:16" ht="30" customHeight="1" x14ac:dyDescent="0.25">
      <c r="A30" s="126" t="s">
        <v>918</v>
      </c>
      <c r="B30" s="313" t="s">
        <v>47</v>
      </c>
      <c r="C30" s="127"/>
      <c r="D30" s="332"/>
      <c r="E30" s="333"/>
      <c r="F30" s="330">
        <f>SUM(F31:F34)</f>
        <v>31327.78</v>
      </c>
      <c r="G30" s="128"/>
      <c r="H30" s="128"/>
      <c r="I30" s="128"/>
      <c r="J30" s="117">
        <f>SUM(J31:J34)</f>
        <v>9087.7999999999993</v>
      </c>
      <c r="K30" s="117">
        <f>SUM(K31:K34)</f>
        <v>22239.98</v>
      </c>
      <c r="L30" s="117">
        <f>J30+K30</f>
        <v>31327.78</v>
      </c>
      <c r="M30" s="314">
        <f>L30/F30</f>
        <v>1</v>
      </c>
    </row>
    <row r="31" spans="1:16" s="141" customFormat="1" ht="30" customHeight="1" x14ac:dyDescent="0.25">
      <c r="A31" s="140" t="s">
        <v>619</v>
      </c>
      <c r="B31" s="309" t="s">
        <v>49</v>
      </c>
      <c r="C31" s="310" t="s">
        <v>50</v>
      </c>
      <c r="D31" s="324">
        <v>168.5</v>
      </c>
      <c r="E31" s="324">
        <v>66.13</v>
      </c>
      <c r="F31" s="324">
        <v>11142.9</v>
      </c>
      <c r="G31" s="124">
        <v>54.38280000000001</v>
      </c>
      <c r="H31" s="124">
        <f>D31-G31</f>
        <v>114.1172</v>
      </c>
      <c r="I31" s="121">
        <f t="shared" ref="I31:I34" si="7">G31+H31</f>
        <v>168.5</v>
      </c>
      <c r="J31" s="124">
        <f t="shared" ref="J31:J34" si="8">TRUNC(E31*G31,2)</f>
        <v>3596.33</v>
      </c>
      <c r="K31" s="124">
        <f t="shared" si="2"/>
        <v>7546.57</v>
      </c>
      <c r="L31" s="121">
        <f t="shared" ref="L31:L34" si="9">J31+K31</f>
        <v>11142.9</v>
      </c>
      <c r="M31" s="129">
        <f t="shared" ref="M31:M72" si="10">L31/F31</f>
        <v>1</v>
      </c>
      <c r="N31" s="265">
        <f t="shared" si="6"/>
        <v>0</v>
      </c>
      <c r="O31" s="175"/>
    </row>
    <row r="32" spans="1:16" s="141" customFormat="1" ht="30" customHeight="1" x14ac:dyDescent="0.25">
      <c r="A32" s="140" t="s">
        <v>620</v>
      </c>
      <c r="B32" s="309" t="s">
        <v>52</v>
      </c>
      <c r="C32" s="310" t="s">
        <v>50</v>
      </c>
      <c r="D32" s="324">
        <v>94.33</v>
      </c>
      <c r="E32" s="324">
        <v>69.08</v>
      </c>
      <c r="F32" s="324">
        <v>6516.31</v>
      </c>
      <c r="G32" s="124">
        <v>79.494399999999999</v>
      </c>
      <c r="H32" s="124">
        <f>D32-G32</f>
        <v>14.835599999999999</v>
      </c>
      <c r="I32" s="121">
        <f t="shared" si="7"/>
        <v>94.33</v>
      </c>
      <c r="J32" s="124">
        <f t="shared" si="8"/>
        <v>5491.47</v>
      </c>
      <c r="K32" s="124">
        <f t="shared" si="2"/>
        <v>1024.8399999999999</v>
      </c>
      <c r="L32" s="121">
        <f t="shared" si="9"/>
        <v>6516.31</v>
      </c>
      <c r="M32" s="129">
        <f t="shared" si="10"/>
        <v>1</v>
      </c>
      <c r="N32" s="265">
        <f t="shared" si="6"/>
        <v>0</v>
      </c>
      <c r="O32" s="175"/>
    </row>
    <row r="33" spans="1:16" s="141" customFormat="1" ht="26.4" x14ac:dyDescent="0.25">
      <c r="A33" s="130" t="s">
        <v>636</v>
      </c>
      <c r="B33" s="309" t="s">
        <v>49</v>
      </c>
      <c r="C33" s="310" t="s">
        <v>50</v>
      </c>
      <c r="D33" s="324">
        <v>184.58</v>
      </c>
      <c r="E33" s="324">
        <v>66.13</v>
      </c>
      <c r="F33" s="324">
        <v>12206.27</v>
      </c>
      <c r="G33" s="124">
        <v>0</v>
      </c>
      <c r="H33" s="124">
        <f>D33-G33</f>
        <v>184.58</v>
      </c>
      <c r="I33" s="121">
        <f t="shared" si="7"/>
        <v>184.58</v>
      </c>
      <c r="J33" s="124">
        <f t="shared" si="8"/>
        <v>0</v>
      </c>
      <c r="K33" s="124">
        <f t="shared" si="2"/>
        <v>12206.27</v>
      </c>
      <c r="L33" s="121">
        <f t="shared" si="9"/>
        <v>12206.27</v>
      </c>
      <c r="M33" s="129">
        <f t="shared" si="10"/>
        <v>1</v>
      </c>
      <c r="N33" s="265">
        <f t="shared" si="6"/>
        <v>0</v>
      </c>
      <c r="O33" s="175"/>
    </row>
    <row r="34" spans="1:16" s="141" customFormat="1" ht="26.4" x14ac:dyDescent="0.25">
      <c r="A34" s="130" t="s">
        <v>637</v>
      </c>
      <c r="B34" s="309" t="s">
        <v>54</v>
      </c>
      <c r="C34" s="310" t="s">
        <v>50</v>
      </c>
      <c r="D34" s="324">
        <v>55.58</v>
      </c>
      <c r="E34" s="324">
        <v>26.31</v>
      </c>
      <c r="F34" s="324">
        <v>1462.3</v>
      </c>
      <c r="G34" s="124">
        <v>0</v>
      </c>
      <c r="H34" s="124">
        <f>D34-G34</f>
        <v>55.58</v>
      </c>
      <c r="I34" s="121">
        <f t="shared" si="7"/>
        <v>55.58</v>
      </c>
      <c r="J34" s="124">
        <f t="shared" si="8"/>
        <v>0</v>
      </c>
      <c r="K34" s="124">
        <f t="shared" si="2"/>
        <v>1462.3</v>
      </c>
      <c r="L34" s="121">
        <f t="shared" si="9"/>
        <v>1462.3</v>
      </c>
      <c r="M34" s="129">
        <f t="shared" si="10"/>
        <v>1</v>
      </c>
      <c r="N34" s="265">
        <f t="shared" si="6"/>
        <v>0</v>
      </c>
      <c r="O34" s="175"/>
    </row>
    <row r="35" spans="1:16" ht="24.75" customHeight="1" x14ac:dyDescent="0.25">
      <c r="A35" s="131">
        <v>3</v>
      </c>
      <c r="B35" s="132" t="s">
        <v>919</v>
      </c>
      <c r="C35" s="132"/>
      <c r="D35" s="333"/>
      <c r="E35" s="333"/>
      <c r="F35" s="334">
        <f>F36+F45+F52</f>
        <v>110557.96</v>
      </c>
      <c r="G35" s="128"/>
      <c r="H35" s="128"/>
      <c r="I35" s="128"/>
      <c r="J35" s="334">
        <f>J36+J45+J52</f>
        <v>45907.78</v>
      </c>
      <c r="K35" s="334">
        <f>K36+K45+K52</f>
        <v>56323.479999999996</v>
      </c>
      <c r="L35" s="334">
        <f>K35+J35</f>
        <v>102231.26</v>
      </c>
      <c r="M35" s="314">
        <f>L35/F35</f>
        <v>0.92468475358988167</v>
      </c>
      <c r="O35" s="315"/>
    </row>
    <row r="36" spans="1:16" s="141" customFormat="1" ht="27" customHeight="1" x14ac:dyDescent="0.25">
      <c r="A36" s="133" t="s">
        <v>920</v>
      </c>
      <c r="B36" s="134" t="s">
        <v>921</v>
      </c>
      <c r="C36" s="134"/>
      <c r="D36" s="335"/>
      <c r="E36" s="335"/>
      <c r="F36" s="335">
        <f>SUM(F37:F44)</f>
        <v>40612.69</v>
      </c>
      <c r="G36" s="136"/>
      <c r="H36" s="135"/>
      <c r="I36" s="137"/>
      <c r="J36" s="138">
        <f>SUM(J37:J44)</f>
        <v>27829.43</v>
      </c>
      <c r="K36" s="138">
        <f>SUM(K37:K44)</f>
        <v>12267.55</v>
      </c>
      <c r="L36" s="138">
        <f>K36+J36</f>
        <v>40096.979999999996</v>
      </c>
      <c r="M36" s="139">
        <f t="shared" ref="M36" si="11">L36/F36</f>
        <v>0.9873017522355696</v>
      </c>
    </row>
    <row r="37" spans="1:16" s="141" customFormat="1" ht="26.4" x14ac:dyDescent="0.25">
      <c r="A37" s="140" t="s">
        <v>626</v>
      </c>
      <c r="B37" s="309" t="s">
        <v>60</v>
      </c>
      <c r="C37" s="310" t="s">
        <v>24</v>
      </c>
      <c r="D37" s="324">
        <v>61.88</v>
      </c>
      <c r="E37" s="324">
        <v>27.39</v>
      </c>
      <c r="F37" s="324">
        <v>1694.89</v>
      </c>
      <c r="G37" s="124">
        <v>26.434000000000005</v>
      </c>
      <c r="H37" s="124">
        <f>D37-G37</f>
        <v>35.445999999999998</v>
      </c>
      <c r="I37" s="121">
        <f t="shared" ref="I37:I44" si="12">G37+H37</f>
        <v>61.88</v>
      </c>
      <c r="J37" s="124">
        <f t="shared" ref="J37:J44" si="13">TRUNC(E37*G37,2)</f>
        <v>724.02</v>
      </c>
      <c r="K37" s="124">
        <f t="shared" ref="K37:K44" si="14">TRUNC(E37*H37,2)</f>
        <v>970.86</v>
      </c>
      <c r="L37" s="121">
        <f>(J37+K37)+0.01</f>
        <v>1694.89</v>
      </c>
      <c r="M37" s="129">
        <f t="shared" si="10"/>
        <v>1</v>
      </c>
      <c r="N37" s="265">
        <f t="shared" ref="N37:N44" si="15">D37-I37</f>
        <v>0</v>
      </c>
      <c r="O37" s="321"/>
      <c r="P37" s="409" t="s">
        <v>1082</v>
      </c>
    </row>
    <row r="38" spans="1:16" s="141" customFormat="1" ht="39.6" x14ac:dyDescent="0.25">
      <c r="A38" s="140" t="s">
        <v>629</v>
      </c>
      <c r="B38" s="309" t="s">
        <v>62</v>
      </c>
      <c r="C38" s="310" t="s">
        <v>24</v>
      </c>
      <c r="D38" s="324">
        <v>165.15</v>
      </c>
      <c r="E38" s="324">
        <v>128.27000000000001</v>
      </c>
      <c r="F38" s="324">
        <v>21183.79</v>
      </c>
      <c r="G38" s="124">
        <v>112.3</v>
      </c>
      <c r="H38" s="124">
        <f>D38-G38</f>
        <v>52.850000000000009</v>
      </c>
      <c r="I38" s="121">
        <f t="shared" si="12"/>
        <v>165.15</v>
      </c>
      <c r="J38" s="124">
        <f t="shared" si="13"/>
        <v>14404.72</v>
      </c>
      <c r="K38" s="124">
        <f t="shared" si="14"/>
        <v>6779.06</v>
      </c>
      <c r="L38" s="121">
        <f>(J38+K38)+0.01</f>
        <v>21183.789999999997</v>
      </c>
      <c r="M38" s="129">
        <f t="shared" si="10"/>
        <v>0.99999999999999978</v>
      </c>
      <c r="N38" s="179">
        <f t="shared" si="15"/>
        <v>0</v>
      </c>
      <c r="O38" s="321"/>
      <c r="P38" s="409"/>
    </row>
    <row r="39" spans="1:16" s="141" customFormat="1" ht="39.6" x14ac:dyDescent="0.25">
      <c r="A39" s="130" t="s">
        <v>638</v>
      </c>
      <c r="B39" s="309" t="s">
        <v>64</v>
      </c>
      <c r="C39" s="310" t="s">
        <v>65</v>
      </c>
      <c r="D39" s="325">
        <v>6.55</v>
      </c>
      <c r="E39" s="325">
        <v>14.13</v>
      </c>
      <c r="F39" s="325">
        <v>92.55</v>
      </c>
      <c r="G39" s="124">
        <v>0</v>
      </c>
      <c r="H39" s="124">
        <f>'MEMORIA DE CALCULO'!H191</f>
        <v>0</v>
      </c>
      <c r="I39" s="121">
        <f t="shared" si="12"/>
        <v>0</v>
      </c>
      <c r="J39" s="124">
        <f t="shared" si="13"/>
        <v>0</v>
      </c>
      <c r="K39" s="124">
        <f t="shared" si="14"/>
        <v>0</v>
      </c>
      <c r="L39" s="121">
        <f t="shared" ref="L39:L44" si="16">J39+K39</f>
        <v>0</v>
      </c>
      <c r="M39" s="129">
        <f t="shared" si="10"/>
        <v>0</v>
      </c>
      <c r="N39" s="179">
        <f t="shared" si="15"/>
        <v>6.55</v>
      </c>
    </row>
    <row r="40" spans="1:16" s="141" customFormat="1" ht="39.6" x14ac:dyDescent="0.25">
      <c r="A40" s="130" t="s">
        <v>639</v>
      </c>
      <c r="B40" s="309" t="s">
        <v>67</v>
      </c>
      <c r="C40" s="310" t="s">
        <v>65</v>
      </c>
      <c r="D40" s="326">
        <v>32.450000000000003</v>
      </c>
      <c r="E40" s="326">
        <v>13.04</v>
      </c>
      <c r="F40" s="326">
        <v>423.14</v>
      </c>
      <c r="G40" s="124">
        <v>0</v>
      </c>
      <c r="H40" s="124"/>
      <c r="I40" s="121">
        <f t="shared" si="12"/>
        <v>0</v>
      </c>
      <c r="J40" s="124">
        <f t="shared" si="13"/>
        <v>0</v>
      </c>
      <c r="K40" s="124">
        <f t="shared" si="14"/>
        <v>0</v>
      </c>
      <c r="L40" s="121">
        <f t="shared" si="16"/>
        <v>0</v>
      </c>
      <c r="M40" s="129">
        <f t="shared" si="10"/>
        <v>0</v>
      </c>
      <c r="N40" s="179">
        <f t="shared" si="15"/>
        <v>32.450000000000003</v>
      </c>
    </row>
    <row r="41" spans="1:16" s="141" customFormat="1" ht="39.6" x14ac:dyDescent="0.25">
      <c r="A41" s="140" t="s">
        <v>631</v>
      </c>
      <c r="B41" s="309" t="s">
        <v>69</v>
      </c>
      <c r="C41" s="310" t="s">
        <v>65</v>
      </c>
      <c r="D41" s="324">
        <v>312.26</v>
      </c>
      <c r="E41" s="324">
        <v>11.49</v>
      </c>
      <c r="F41" s="324">
        <v>3587.86</v>
      </c>
      <c r="G41" s="124">
        <v>312.26</v>
      </c>
      <c r="H41" s="125"/>
      <c r="I41" s="121">
        <f t="shared" si="12"/>
        <v>312.26</v>
      </c>
      <c r="J41" s="124">
        <f t="shared" si="13"/>
        <v>3587.86</v>
      </c>
      <c r="K41" s="124">
        <f t="shared" si="14"/>
        <v>0</v>
      </c>
      <c r="L41" s="121">
        <f t="shared" si="16"/>
        <v>3587.86</v>
      </c>
      <c r="M41" s="129">
        <f t="shared" si="10"/>
        <v>1</v>
      </c>
      <c r="N41" s="179">
        <f t="shared" si="15"/>
        <v>0</v>
      </c>
      <c r="O41" s="175"/>
    </row>
    <row r="42" spans="1:16" s="141" customFormat="1" ht="39.6" x14ac:dyDescent="0.25">
      <c r="A42" s="140" t="s">
        <v>632</v>
      </c>
      <c r="B42" s="309" t="s">
        <v>71</v>
      </c>
      <c r="C42" s="310" t="s">
        <v>65</v>
      </c>
      <c r="D42" s="324">
        <v>32.64</v>
      </c>
      <c r="E42" s="324">
        <v>9.57</v>
      </c>
      <c r="F42" s="324">
        <v>312.36</v>
      </c>
      <c r="G42" s="124">
        <v>0</v>
      </c>
      <c r="H42" s="124">
        <v>32.64</v>
      </c>
      <c r="I42" s="121">
        <f>G42+H42</f>
        <v>32.64</v>
      </c>
      <c r="J42" s="124">
        <f t="shared" si="13"/>
        <v>0</v>
      </c>
      <c r="K42" s="124">
        <f t="shared" si="14"/>
        <v>312.36</v>
      </c>
      <c r="L42" s="121">
        <f t="shared" si="16"/>
        <v>312.36</v>
      </c>
      <c r="M42" s="129">
        <f t="shared" si="10"/>
        <v>1</v>
      </c>
      <c r="N42" s="179">
        <f t="shared" si="15"/>
        <v>0</v>
      </c>
      <c r="O42" s="175"/>
    </row>
    <row r="43" spans="1:16" s="141" customFormat="1" ht="39.6" x14ac:dyDescent="0.25">
      <c r="A43" s="140" t="s">
        <v>633</v>
      </c>
      <c r="B43" s="309" t="s">
        <v>73</v>
      </c>
      <c r="C43" s="310" t="s">
        <v>65</v>
      </c>
      <c r="D43" s="324">
        <v>307.55</v>
      </c>
      <c r="E43" s="324">
        <v>15.18</v>
      </c>
      <c r="F43" s="324">
        <v>4668.6000000000004</v>
      </c>
      <c r="G43" s="124">
        <v>118.89</v>
      </c>
      <c r="H43" s="124">
        <v>188.66</v>
      </c>
      <c r="I43" s="121">
        <f t="shared" si="12"/>
        <v>307.55</v>
      </c>
      <c r="J43" s="124">
        <f t="shared" si="13"/>
        <v>1804.75</v>
      </c>
      <c r="K43" s="124">
        <f t="shared" si="14"/>
        <v>2863.85</v>
      </c>
      <c r="L43" s="121">
        <f t="shared" si="16"/>
        <v>4668.6000000000004</v>
      </c>
      <c r="M43" s="129">
        <f t="shared" si="10"/>
        <v>1</v>
      </c>
      <c r="N43" s="179">
        <f t="shared" si="15"/>
        <v>0</v>
      </c>
      <c r="O43" s="316"/>
    </row>
    <row r="44" spans="1:16" s="141" customFormat="1" ht="39.6" x14ac:dyDescent="0.25">
      <c r="A44" s="140" t="s">
        <v>634</v>
      </c>
      <c r="B44" s="309" t="s">
        <v>75</v>
      </c>
      <c r="C44" s="310" t="s">
        <v>50</v>
      </c>
      <c r="D44" s="324">
        <v>16.12</v>
      </c>
      <c r="E44" s="324">
        <v>536.57000000000005</v>
      </c>
      <c r="F44" s="327">
        <v>8649.5</v>
      </c>
      <c r="G44" s="124">
        <v>13.62</v>
      </c>
      <c r="H44" s="124">
        <v>2.5</v>
      </c>
      <c r="I44" s="121">
        <f t="shared" si="12"/>
        <v>16.119999999999997</v>
      </c>
      <c r="J44" s="124">
        <f t="shared" si="13"/>
        <v>7308.08</v>
      </c>
      <c r="K44" s="124">
        <f t="shared" si="14"/>
        <v>1341.42</v>
      </c>
      <c r="L44" s="121">
        <f t="shared" si="16"/>
        <v>8649.5</v>
      </c>
      <c r="M44" s="129">
        <f t="shared" si="10"/>
        <v>1</v>
      </c>
      <c r="N44" s="179">
        <f t="shared" si="15"/>
        <v>0</v>
      </c>
      <c r="O44" s="175"/>
    </row>
    <row r="45" spans="1:16" s="141" customFormat="1" ht="40.5" customHeight="1" x14ac:dyDescent="0.25">
      <c r="A45" s="133" t="s">
        <v>922</v>
      </c>
      <c r="B45" s="317" t="s">
        <v>77</v>
      </c>
      <c r="C45" s="318"/>
      <c r="D45" s="336"/>
      <c r="E45" s="336"/>
      <c r="F45" s="337">
        <f>SUM(F46:F51)</f>
        <v>62144.6</v>
      </c>
      <c r="G45" s="137"/>
      <c r="H45" s="137" t="s">
        <v>1076</v>
      </c>
      <c r="I45" s="137"/>
      <c r="J45" s="138">
        <f>SUM(J46:J51)</f>
        <v>18078.349999999999</v>
      </c>
      <c r="K45" s="138">
        <f>SUM(K46:K51)</f>
        <v>44055.93</v>
      </c>
      <c r="L45" s="138">
        <f>K45+J45</f>
        <v>62134.28</v>
      </c>
      <c r="M45" s="139">
        <f>L45/F45</f>
        <v>0.99983393569191858</v>
      </c>
      <c r="N45" s="316"/>
      <c r="O45" s="316"/>
    </row>
    <row r="46" spans="1:16" s="141" customFormat="1" ht="39.6" x14ac:dyDescent="0.25">
      <c r="A46" s="140" t="s">
        <v>635</v>
      </c>
      <c r="B46" s="309" t="s">
        <v>79</v>
      </c>
      <c r="C46" s="310" t="s">
        <v>24</v>
      </c>
      <c r="D46" s="324">
        <v>463.48</v>
      </c>
      <c r="E46" s="324">
        <v>64.540000000000006</v>
      </c>
      <c r="F46" s="324">
        <v>29912.99</v>
      </c>
      <c r="G46" s="124">
        <v>57.64</v>
      </c>
      <c r="H46" s="124">
        <f>'MEMORIA DE CALCULO'!H271</f>
        <v>405.84</v>
      </c>
      <c r="I46" s="121">
        <f t="shared" ref="I46:I51" si="17">G46+H46</f>
        <v>463.47999999999996</v>
      </c>
      <c r="J46" s="124">
        <f t="shared" ref="J46:J51" si="18">TRUNC(E46*G46,2)</f>
        <v>3720.08</v>
      </c>
      <c r="K46" s="124">
        <f t="shared" ref="K46:K51" si="19">TRUNC(E46*H46,2)</f>
        <v>26192.91</v>
      </c>
      <c r="L46" s="121">
        <f t="shared" ref="L46:L51" si="20">J46+K46</f>
        <v>29912.989999999998</v>
      </c>
      <c r="M46" s="129">
        <f t="shared" si="10"/>
        <v>0.99999999999999989</v>
      </c>
      <c r="N46" s="179">
        <f t="shared" ref="N46:N51" si="21">D46-I46</f>
        <v>0</v>
      </c>
      <c r="O46" s="175"/>
    </row>
    <row r="47" spans="1:16" s="141" customFormat="1" ht="39.6" x14ac:dyDescent="0.25">
      <c r="A47" s="130" t="s">
        <v>640</v>
      </c>
      <c r="B47" s="309" t="s">
        <v>64</v>
      </c>
      <c r="C47" s="310" t="s">
        <v>65</v>
      </c>
      <c r="D47" s="324">
        <v>0.73</v>
      </c>
      <c r="E47" s="324">
        <v>14.13</v>
      </c>
      <c r="F47" s="324">
        <v>10.31</v>
      </c>
      <c r="G47" s="124">
        <v>0</v>
      </c>
      <c r="H47" s="124"/>
      <c r="I47" s="121">
        <f t="shared" si="17"/>
        <v>0</v>
      </c>
      <c r="J47" s="124">
        <f t="shared" si="18"/>
        <v>0</v>
      </c>
      <c r="K47" s="124">
        <f t="shared" si="19"/>
        <v>0</v>
      </c>
      <c r="L47" s="121">
        <f t="shared" si="20"/>
        <v>0</v>
      </c>
      <c r="M47" s="129">
        <f t="shared" si="10"/>
        <v>0</v>
      </c>
      <c r="N47" s="179">
        <f t="shared" si="21"/>
        <v>0.73</v>
      </c>
      <c r="O47" s="316"/>
    </row>
    <row r="48" spans="1:16" s="141" customFormat="1" ht="39.6" x14ac:dyDescent="0.25">
      <c r="A48" s="140" t="s">
        <v>641</v>
      </c>
      <c r="B48" s="309" t="s">
        <v>67</v>
      </c>
      <c r="C48" s="310" t="s">
        <v>65</v>
      </c>
      <c r="D48" s="324">
        <v>829.82</v>
      </c>
      <c r="E48" s="324">
        <v>13.04</v>
      </c>
      <c r="F48" s="324">
        <v>10820.85</v>
      </c>
      <c r="G48" s="124">
        <v>412.32</v>
      </c>
      <c r="H48" s="124">
        <f>'MEMORIA DE CALCULO'!H287</f>
        <v>417.5</v>
      </c>
      <c r="I48" s="121">
        <f t="shared" si="17"/>
        <v>829.81999999999994</v>
      </c>
      <c r="J48" s="124">
        <f t="shared" si="18"/>
        <v>5376.65</v>
      </c>
      <c r="K48" s="124">
        <f t="shared" si="19"/>
        <v>5444.2</v>
      </c>
      <c r="L48" s="121">
        <f t="shared" si="20"/>
        <v>10820.849999999999</v>
      </c>
      <c r="M48" s="129">
        <f t="shared" si="10"/>
        <v>0.99999999999999978</v>
      </c>
      <c r="N48" s="179">
        <f t="shared" si="21"/>
        <v>0</v>
      </c>
      <c r="O48" s="175"/>
    </row>
    <row r="49" spans="1:16" s="141" customFormat="1" ht="39.6" x14ac:dyDescent="0.25">
      <c r="A49" s="130" t="s">
        <v>642</v>
      </c>
      <c r="B49" s="309" t="s">
        <v>69</v>
      </c>
      <c r="C49" s="310" t="s">
        <v>65</v>
      </c>
      <c r="D49" s="324">
        <v>100.82</v>
      </c>
      <c r="E49" s="324">
        <v>11.49</v>
      </c>
      <c r="F49" s="324">
        <v>1158.42</v>
      </c>
      <c r="G49" s="124"/>
      <c r="H49" s="124">
        <f>'MEMORIA DE CALCULO'!H302</f>
        <v>100.82000000000001</v>
      </c>
      <c r="I49" s="121">
        <f t="shared" si="17"/>
        <v>100.82000000000001</v>
      </c>
      <c r="J49" s="124">
        <f t="shared" si="18"/>
        <v>0</v>
      </c>
      <c r="K49" s="124">
        <f t="shared" si="19"/>
        <v>1158.42</v>
      </c>
      <c r="L49" s="121">
        <f t="shared" si="20"/>
        <v>1158.42</v>
      </c>
      <c r="M49" s="129">
        <f t="shared" si="10"/>
        <v>1</v>
      </c>
      <c r="N49" s="179">
        <f t="shared" si="21"/>
        <v>0</v>
      </c>
      <c r="O49" s="316"/>
    </row>
    <row r="50" spans="1:16" s="141" customFormat="1" ht="39.6" x14ac:dyDescent="0.25">
      <c r="A50" s="140" t="s">
        <v>643</v>
      </c>
      <c r="B50" s="309" t="s">
        <v>73</v>
      </c>
      <c r="C50" s="310" t="s">
        <v>65</v>
      </c>
      <c r="D50" s="324">
        <v>395</v>
      </c>
      <c r="E50" s="324">
        <v>15.18</v>
      </c>
      <c r="F50" s="324">
        <v>5996.1</v>
      </c>
      <c r="G50" s="124">
        <v>168.02</v>
      </c>
      <c r="H50" s="124">
        <f>D50-G50</f>
        <v>226.98</v>
      </c>
      <c r="I50" s="121">
        <f t="shared" si="17"/>
        <v>395</v>
      </c>
      <c r="J50" s="124">
        <f t="shared" si="18"/>
        <v>2550.54</v>
      </c>
      <c r="K50" s="124">
        <f t="shared" si="19"/>
        <v>3445.55</v>
      </c>
      <c r="L50" s="121">
        <f>(J50+K50)+0.01</f>
        <v>5996.1</v>
      </c>
      <c r="M50" s="129">
        <f t="shared" si="10"/>
        <v>1</v>
      </c>
      <c r="N50" s="179">
        <f t="shared" si="21"/>
        <v>0</v>
      </c>
      <c r="O50" s="175"/>
      <c r="P50" s="322" t="s">
        <v>1082</v>
      </c>
    </row>
    <row r="51" spans="1:16" s="141" customFormat="1" ht="39.6" x14ac:dyDescent="0.25">
      <c r="A51" s="140" t="s">
        <v>644</v>
      </c>
      <c r="B51" s="309" t="s">
        <v>81</v>
      </c>
      <c r="C51" s="310" t="s">
        <v>50</v>
      </c>
      <c r="D51" s="324">
        <v>26.87</v>
      </c>
      <c r="E51" s="324">
        <v>530.17999999999995</v>
      </c>
      <c r="F51" s="327">
        <v>14245.93</v>
      </c>
      <c r="G51" s="124">
        <v>12.13</v>
      </c>
      <c r="H51" s="124">
        <f>'MEMORIA DE CALCULO'!H329</f>
        <v>14.739999999999998</v>
      </c>
      <c r="I51" s="121">
        <f t="shared" si="17"/>
        <v>26.869999999999997</v>
      </c>
      <c r="J51" s="124">
        <f t="shared" si="18"/>
        <v>6431.08</v>
      </c>
      <c r="K51" s="124">
        <f t="shared" si="19"/>
        <v>7814.85</v>
      </c>
      <c r="L51" s="121">
        <f t="shared" si="20"/>
        <v>14245.93</v>
      </c>
      <c r="M51" s="129">
        <f t="shared" si="10"/>
        <v>1</v>
      </c>
      <c r="N51" s="179">
        <f t="shared" si="21"/>
        <v>0</v>
      </c>
      <c r="O51" s="316"/>
      <c r="P51" s="323"/>
    </row>
    <row r="52" spans="1:16" s="141" customFormat="1" ht="36" customHeight="1" x14ac:dyDescent="0.25">
      <c r="A52" s="133" t="s">
        <v>923</v>
      </c>
      <c r="B52" s="317" t="s">
        <v>83</v>
      </c>
      <c r="C52" s="318"/>
      <c r="D52" s="336"/>
      <c r="E52" s="336"/>
      <c r="F52" s="337">
        <f>SUM(F53:F56)</f>
        <v>7800.67</v>
      </c>
      <c r="G52" s="137"/>
      <c r="H52" s="137"/>
      <c r="I52" s="137"/>
      <c r="J52" s="137">
        <f>SUM(J53:J56)</f>
        <v>0</v>
      </c>
      <c r="K52" s="137">
        <f>SUM(K53:K56)</f>
        <v>0</v>
      </c>
      <c r="L52" s="137"/>
      <c r="M52" s="139">
        <f>L52/F52</f>
        <v>0</v>
      </c>
      <c r="N52" s="316"/>
      <c r="O52" s="316"/>
    </row>
    <row r="53" spans="1:16" s="141" customFormat="1" ht="39.6" x14ac:dyDescent="0.25">
      <c r="A53" s="130" t="s">
        <v>645</v>
      </c>
      <c r="B53" s="309" t="s">
        <v>62</v>
      </c>
      <c r="C53" s="310" t="s">
        <v>24</v>
      </c>
      <c r="D53" s="324">
        <v>5.6</v>
      </c>
      <c r="E53" s="324">
        <v>128.27000000000001</v>
      </c>
      <c r="F53" s="324">
        <v>718.31</v>
      </c>
      <c r="G53" s="124">
        <v>0</v>
      </c>
      <c r="H53" s="124">
        <v>0</v>
      </c>
      <c r="I53" s="121">
        <f t="shared" ref="I53:I56" si="22">G53+H53</f>
        <v>0</v>
      </c>
      <c r="J53" s="124">
        <f t="shared" ref="J53:J56" si="23">TRUNC(E53*G53,2)</f>
        <v>0</v>
      </c>
      <c r="K53" s="124">
        <f t="shared" ref="K53:K56" si="24">TRUNC(E53*H53,2)</f>
        <v>0</v>
      </c>
      <c r="L53" s="121">
        <f t="shared" ref="L53:L56" si="25">J53+K53</f>
        <v>0</v>
      </c>
      <c r="M53" s="129">
        <f t="shared" si="10"/>
        <v>0</v>
      </c>
      <c r="N53" s="179">
        <f t="shared" ref="N53:N56" si="26">D53-I53</f>
        <v>5.6</v>
      </c>
      <c r="O53" s="316"/>
    </row>
    <row r="54" spans="1:16" s="141" customFormat="1" ht="39.6" x14ac:dyDescent="0.25">
      <c r="A54" s="130" t="s">
        <v>646</v>
      </c>
      <c r="B54" s="309" t="s">
        <v>69</v>
      </c>
      <c r="C54" s="310" t="s">
        <v>65</v>
      </c>
      <c r="D54" s="324">
        <v>325</v>
      </c>
      <c r="E54" s="324">
        <v>11.49</v>
      </c>
      <c r="F54" s="324">
        <v>3734.25</v>
      </c>
      <c r="G54" s="124">
        <v>0</v>
      </c>
      <c r="H54" s="124">
        <v>0</v>
      </c>
      <c r="I54" s="121">
        <f t="shared" si="22"/>
        <v>0</v>
      </c>
      <c r="J54" s="124">
        <f t="shared" si="23"/>
        <v>0</v>
      </c>
      <c r="K54" s="124">
        <f t="shared" si="24"/>
        <v>0</v>
      </c>
      <c r="L54" s="121">
        <f t="shared" si="25"/>
        <v>0</v>
      </c>
      <c r="M54" s="129">
        <f t="shared" si="10"/>
        <v>0</v>
      </c>
      <c r="N54" s="179">
        <f t="shared" si="26"/>
        <v>325</v>
      </c>
      <c r="O54" s="316"/>
    </row>
    <row r="55" spans="1:16" s="141" customFormat="1" ht="39.6" x14ac:dyDescent="0.25">
      <c r="A55" s="130" t="s">
        <v>647</v>
      </c>
      <c r="B55" s="309" t="s">
        <v>73</v>
      </c>
      <c r="C55" s="310" t="s">
        <v>65</v>
      </c>
      <c r="D55" s="324">
        <v>82</v>
      </c>
      <c r="E55" s="324">
        <v>15.18</v>
      </c>
      <c r="F55" s="324">
        <v>1244.76</v>
      </c>
      <c r="G55" s="124">
        <v>0</v>
      </c>
      <c r="H55" s="124">
        <v>0</v>
      </c>
      <c r="I55" s="121">
        <f t="shared" si="22"/>
        <v>0</v>
      </c>
      <c r="J55" s="124">
        <f t="shared" si="23"/>
        <v>0</v>
      </c>
      <c r="K55" s="124">
        <f t="shared" si="24"/>
        <v>0</v>
      </c>
      <c r="L55" s="121">
        <f t="shared" si="25"/>
        <v>0</v>
      </c>
      <c r="M55" s="129">
        <f t="shared" si="10"/>
        <v>0</v>
      </c>
      <c r="N55" s="179">
        <f t="shared" si="26"/>
        <v>82</v>
      </c>
      <c r="O55" s="316"/>
    </row>
    <row r="56" spans="1:16" s="141" customFormat="1" ht="39.6" x14ac:dyDescent="0.25">
      <c r="A56" s="130" t="s">
        <v>648</v>
      </c>
      <c r="B56" s="309" t="s">
        <v>75</v>
      </c>
      <c r="C56" s="310" t="s">
        <v>50</v>
      </c>
      <c r="D56" s="324">
        <v>3.92</v>
      </c>
      <c r="E56" s="324">
        <v>536.57000000000005</v>
      </c>
      <c r="F56" s="324">
        <v>2103.35</v>
      </c>
      <c r="G56" s="124">
        <v>0</v>
      </c>
      <c r="H56" s="124">
        <f>'MEMORIA DE CALCULO'!H334</f>
        <v>0</v>
      </c>
      <c r="I56" s="121">
        <f t="shared" si="22"/>
        <v>0</v>
      </c>
      <c r="J56" s="124">
        <f t="shared" si="23"/>
        <v>0</v>
      </c>
      <c r="K56" s="124">
        <f t="shared" si="24"/>
        <v>0</v>
      </c>
      <c r="L56" s="121">
        <f t="shared" si="25"/>
        <v>0</v>
      </c>
      <c r="M56" s="129">
        <f t="shared" si="10"/>
        <v>0</v>
      </c>
      <c r="N56" s="179">
        <f t="shared" si="26"/>
        <v>3.92</v>
      </c>
      <c r="O56" s="316"/>
    </row>
    <row r="57" spans="1:16" ht="30" customHeight="1" x14ac:dyDescent="0.25">
      <c r="A57" s="131">
        <v>4</v>
      </c>
      <c r="B57" s="313" t="s">
        <v>85</v>
      </c>
      <c r="C57" s="132"/>
      <c r="D57" s="333"/>
      <c r="E57" s="333"/>
      <c r="F57" s="328">
        <f>F58+F65+F71+F73</f>
        <v>173762.92</v>
      </c>
      <c r="G57" s="128"/>
      <c r="H57" s="128"/>
      <c r="I57" s="128"/>
      <c r="J57" s="117"/>
      <c r="K57" s="117">
        <f>SUM(K58,K65,K71,K73)</f>
        <v>17412.77</v>
      </c>
      <c r="L57" s="117">
        <f>K57+J57</f>
        <v>17412.77</v>
      </c>
      <c r="M57" s="314">
        <f>L57/F57</f>
        <v>0.10020992971342792</v>
      </c>
    </row>
    <row r="58" spans="1:16" s="141" customFormat="1" ht="24.75" customHeight="1" x14ac:dyDescent="0.25">
      <c r="A58" s="133" t="s">
        <v>924</v>
      </c>
      <c r="B58" s="317" t="s">
        <v>87</v>
      </c>
      <c r="C58" s="134"/>
      <c r="D58" s="335"/>
      <c r="E58" s="335"/>
      <c r="F58" s="338">
        <f>SUM(F59:F64)</f>
        <v>65370.7</v>
      </c>
      <c r="G58" s="136"/>
      <c r="H58" s="136"/>
      <c r="I58" s="136"/>
      <c r="J58" s="138">
        <f>SUM(J59:J59)</f>
        <v>0</v>
      </c>
      <c r="K58" s="138">
        <f>SUM(K59:K64)</f>
        <v>0</v>
      </c>
      <c r="L58" s="138">
        <f>SUM(L59:L59)</f>
        <v>0</v>
      </c>
      <c r="M58" s="139">
        <f t="shared" si="10"/>
        <v>0</v>
      </c>
    </row>
    <row r="59" spans="1:16" s="141" customFormat="1" ht="52.8" x14ac:dyDescent="0.25">
      <c r="A59" s="130" t="s">
        <v>649</v>
      </c>
      <c r="B59" s="309" t="s">
        <v>89</v>
      </c>
      <c r="C59" s="310" t="s">
        <v>24</v>
      </c>
      <c r="D59" s="324">
        <v>453.62</v>
      </c>
      <c r="E59" s="324">
        <v>77.739999999999995</v>
      </c>
      <c r="F59" s="324">
        <v>35264.410000000003</v>
      </c>
      <c r="G59" s="124">
        <v>0</v>
      </c>
      <c r="H59" s="124">
        <v>0</v>
      </c>
      <c r="I59" s="121">
        <f>G59+H59</f>
        <v>0</v>
      </c>
      <c r="J59" s="124">
        <f>TRUNC(E59*G59,2)</f>
        <v>0</v>
      </c>
      <c r="K59" s="124">
        <f>TRUNC(E59*H59,2)</f>
        <v>0</v>
      </c>
      <c r="L59" s="121">
        <f>J59+K59</f>
        <v>0</v>
      </c>
      <c r="M59" s="129">
        <f t="shared" si="10"/>
        <v>0</v>
      </c>
      <c r="N59" s="179">
        <f t="shared" ref="N59:N64" si="27">D59-I59</f>
        <v>453.62</v>
      </c>
    </row>
    <row r="60" spans="1:16" s="141" customFormat="1" ht="39.6" x14ac:dyDescent="0.25">
      <c r="A60" s="130" t="s">
        <v>650</v>
      </c>
      <c r="B60" s="309" t="s">
        <v>91</v>
      </c>
      <c r="C60" s="310" t="s">
        <v>65</v>
      </c>
      <c r="D60" s="324">
        <v>0.73</v>
      </c>
      <c r="E60" s="324">
        <v>12.52</v>
      </c>
      <c r="F60" s="324">
        <v>9.1300000000000008</v>
      </c>
      <c r="G60" s="124">
        <v>0</v>
      </c>
      <c r="H60" s="124">
        <v>0</v>
      </c>
      <c r="I60" s="121">
        <f t="shared" ref="I60:I64" si="28">G60+H60</f>
        <v>0</v>
      </c>
      <c r="J60" s="124">
        <f t="shared" ref="J60:J64" si="29">TRUNC(E60*G60,2)</f>
        <v>0</v>
      </c>
      <c r="K60" s="124">
        <f t="shared" ref="K60:K64" si="30">TRUNC(E60*H60,2)</f>
        <v>0</v>
      </c>
      <c r="L60" s="121">
        <f t="shared" ref="L60:L64" si="31">J60+K60</f>
        <v>0</v>
      </c>
      <c r="M60" s="129">
        <f t="shared" si="10"/>
        <v>0</v>
      </c>
      <c r="N60" s="179">
        <f t="shared" si="27"/>
        <v>0.73</v>
      </c>
    </row>
    <row r="61" spans="1:16" s="141" customFormat="1" ht="39.6" x14ac:dyDescent="0.25">
      <c r="A61" s="130" t="s">
        <v>651</v>
      </c>
      <c r="B61" s="309" t="s">
        <v>93</v>
      </c>
      <c r="C61" s="310" t="s">
        <v>65</v>
      </c>
      <c r="D61" s="324">
        <v>829.82</v>
      </c>
      <c r="E61" s="324">
        <v>11.9</v>
      </c>
      <c r="F61" s="324">
        <v>9874.85</v>
      </c>
      <c r="G61" s="124">
        <v>0</v>
      </c>
      <c r="H61" s="124">
        <f>'MEMORIA DE CALCULO'!H344</f>
        <v>0</v>
      </c>
      <c r="I61" s="121">
        <f t="shared" si="28"/>
        <v>0</v>
      </c>
      <c r="J61" s="124">
        <f t="shared" si="29"/>
        <v>0</v>
      </c>
      <c r="K61" s="124">
        <f t="shared" si="30"/>
        <v>0</v>
      </c>
      <c r="L61" s="121">
        <f t="shared" si="31"/>
        <v>0</v>
      </c>
      <c r="M61" s="129">
        <f t="shared" si="10"/>
        <v>0</v>
      </c>
      <c r="N61" s="179">
        <f t="shared" si="27"/>
        <v>829.82</v>
      </c>
    </row>
    <row r="62" spans="1:16" s="141" customFormat="1" ht="39.6" x14ac:dyDescent="0.25">
      <c r="A62" s="130" t="s">
        <v>652</v>
      </c>
      <c r="B62" s="309" t="s">
        <v>95</v>
      </c>
      <c r="C62" s="310" t="s">
        <v>65</v>
      </c>
      <c r="D62" s="325">
        <v>100.82</v>
      </c>
      <c r="E62" s="325">
        <v>10.71</v>
      </c>
      <c r="F62" s="325">
        <v>1079.78</v>
      </c>
      <c r="G62" s="124">
        <v>0</v>
      </c>
      <c r="H62" s="124">
        <v>0</v>
      </c>
      <c r="I62" s="121">
        <f t="shared" si="28"/>
        <v>0</v>
      </c>
      <c r="J62" s="124">
        <f t="shared" si="29"/>
        <v>0</v>
      </c>
      <c r="K62" s="124">
        <f t="shared" si="30"/>
        <v>0</v>
      </c>
      <c r="L62" s="121">
        <f t="shared" si="31"/>
        <v>0</v>
      </c>
      <c r="M62" s="129">
        <f t="shared" si="10"/>
        <v>0</v>
      </c>
      <c r="N62" s="179">
        <f t="shared" si="27"/>
        <v>100.82</v>
      </c>
    </row>
    <row r="63" spans="1:16" s="141" customFormat="1" ht="39.6" x14ac:dyDescent="0.25">
      <c r="A63" s="130" t="s">
        <v>653</v>
      </c>
      <c r="B63" s="309" t="s">
        <v>97</v>
      </c>
      <c r="C63" s="310" t="s">
        <v>65</v>
      </c>
      <c r="D63" s="326">
        <v>379</v>
      </c>
      <c r="E63" s="326">
        <v>13.01</v>
      </c>
      <c r="F63" s="326">
        <v>4930.79</v>
      </c>
      <c r="G63" s="124">
        <v>0</v>
      </c>
      <c r="H63" s="124">
        <v>0</v>
      </c>
      <c r="I63" s="121">
        <f t="shared" si="28"/>
        <v>0</v>
      </c>
      <c r="J63" s="124">
        <f t="shared" si="29"/>
        <v>0</v>
      </c>
      <c r="K63" s="124">
        <f t="shared" si="30"/>
        <v>0</v>
      </c>
      <c r="L63" s="121">
        <f t="shared" si="31"/>
        <v>0</v>
      </c>
      <c r="M63" s="129">
        <f t="shared" si="10"/>
        <v>0</v>
      </c>
      <c r="N63" s="179">
        <f t="shared" si="27"/>
        <v>379</v>
      </c>
    </row>
    <row r="64" spans="1:16" s="141" customFormat="1" ht="52.8" x14ac:dyDescent="0.25">
      <c r="A64" s="130" t="s">
        <v>654</v>
      </c>
      <c r="B64" s="309" t="s">
        <v>99</v>
      </c>
      <c r="C64" s="310" t="s">
        <v>50</v>
      </c>
      <c r="D64" s="324">
        <v>27.81</v>
      </c>
      <c r="E64" s="324">
        <v>511.03</v>
      </c>
      <c r="F64" s="327">
        <v>14211.74</v>
      </c>
      <c r="G64" s="124">
        <v>0</v>
      </c>
      <c r="H64" s="124">
        <v>0</v>
      </c>
      <c r="I64" s="121">
        <f t="shared" si="28"/>
        <v>0</v>
      </c>
      <c r="J64" s="124">
        <f t="shared" si="29"/>
        <v>0</v>
      </c>
      <c r="K64" s="124">
        <f t="shared" si="30"/>
        <v>0</v>
      </c>
      <c r="L64" s="121">
        <f t="shared" si="31"/>
        <v>0</v>
      </c>
      <c r="M64" s="129">
        <f t="shared" si="10"/>
        <v>0</v>
      </c>
      <c r="N64" s="179">
        <f t="shared" si="27"/>
        <v>27.81</v>
      </c>
    </row>
    <row r="65" spans="1:14" s="141" customFormat="1" ht="23.25" customHeight="1" x14ac:dyDescent="0.25">
      <c r="A65" s="133" t="s">
        <v>925</v>
      </c>
      <c r="B65" s="317" t="s">
        <v>101</v>
      </c>
      <c r="C65" s="134"/>
      <c r="D65" s="335"/>
      <c r="E65" s="335"/>
      <c r="F65" s="338">
        <f>SUM(F66:F70)</f>
        <v>40599.880000000005</v>
      </c>
      <c r="G65" s="136"/>
      <c r="H65" s="136"/>
      <c r="I65" s="136"/>
      <c r="J65" s="138">
        <f t="shared" ref="J65:L71" si="32">SUM(J66)</f>
        <v>0</v>
      </c>
      <c r="K65" s="138">
        <f>SUM(K66:K70)</f>
        <v>11499.36</v>
      </c>
      <c r="L65" s="138">
        <f>K65+J65</f>
        <v>11499.36</v>
      </c>
      <c r="M65" s="139">
        <f t="shared" si="10"/>
        <v>0.28323630513193632</v>
      </c>
    </row>
    <row r="66" spans="1:14" s="141" customFormat="1" ht="58.2" customHeight="1" x14ac:dyDescent="0.25">
      <c r="A66" s="140" t="s">
        <v>655</v>
      </c>
      <c r="B66" s="309" t="s">
        <v>103</v>
      </c>
      <c r="C66" s="310" t="s">
        <v>24</v>
      </c>
      <c r="D66" s="324">
        <v>319.27</v>
      </c>
      <c r="E66" s="324">
        <v>40.75</v>
      </c>
      <c r="F66" s="324">
        <v>13010.25</v>
      </c>
      <c r="G66" s="124">
        <v>0</v>
      </c>
      <c r="H66" s="124">
        <v>67.38</v>
      </c>
      <c r="I66" s="121">
        <f>G66+H66</f>
        <v>67.38</v>
      </c>
      <c r="J66" s="124">
        <f>TRUNC(E66*G66,2)</f>
        <v>0</v>
      </c>
      <c r="K66" s="124">
        <f>TRUNC(E66*H66,2)</f>
        <v>2745.73</v>
      </c>
      <c r="L66" s="121">
        <f>J66+K66</f>
        <v>2745.73</v>
      </c>
      <c r="M66" s="129">
        <f t="shared" si="10"/>
        <v>0.21104360023827368</v>
      </c>
      <c r="N66" s="179">
        <f t="shared" ref="N66:N70" si="33">D66-I66</f>
        <v>251.89</v>
      </c>
    </row>
    <row r="67" spans="1:14" s="141" customFormat="1" ht="47.4" customHeight="1" x14ac:dyDescent="0.25">
      <c r="A67" s="140" t="s">
        <v>656</v>
      </c>
      <c r="B67" s="309" t="s">
        <v>69</v>
      </c>
      <c r="C67" s="310" t="s">
        <v>65</v>
      </c>
      <c r="D67" s="324">
        <v>1063.9100000000001</v>
      </c>
      <c r="E67" s="324">
        <v>11.49</v>
      </c>
      <c r="F67" s="324">
        <v>12224.32</v>
      </c>
      <c r="G67" s="124">
        <v>0</v>
      </c>
      <c r="H67" s="124">
        <f>'MEMORIA DE CALCULO'!H365</f>
        <v>414.99419999999998</v>
      </c>
      <c r="I67" s="121">
        <f t="shared" ref="I67:I70" si="34">G67+H67</f>
        <v>414.99419999999998</v>
      </c>
      <c r="J67" s="124">
        <f t="shared" ref="J67:J70" si="35">TRUNC(E67*G67,2)</f>
        <v>0</v>
      </c>
      <c r="K67" s="124">
        <f t="shared" ref="K67:K70" si="36">TRUNC(E67*H67,2)</f>
        <v>4768.28</v>
      </c>
      <c r="L67" s="121">
        <f t="shared" ref="L67:L70" si="37">J67+K67</f>
        <v>4768.28</v>
      </c>
      <c r="M67" s="129">
        <f t="shared" si="10"/>
        <v>0.39006505065312425</v>
      </c>
      <c r="N67" s="215">
        <f>D67-I67</f>
        <v>648.9158000000001</v>
      </c>
    </row>
    <row r="68" spans="1:14" s="141" customFormat="1" ht="45" customHeight="1" x14ac:dyDescent="0.25">
      <c r="A68" s="140" t="s">
        <v>657</v>
      </c>
      <c r="B68" s="309" t="s">
        <v>71</v>
      </c>
      <c r="C68" s="310" t="s">
        <v>65</v>
      </c>
      <c r="D68" s="324">
        <v>102.27</v>
      </c>
      <c r="E68" s="324">
        <v>9.57</v>
      </c>
      <c r="F68" s="324">
        <v>978.72</v>
      </c>
      <c r="G68" s="124">
        <v>0</v>
      </c>
      <c r="H68" s="124"/>
      <c r="I68" s="121">
        <f t="shared" si="34"/>
        <v>0</v>
      </c>
      <c r="J68" s="124">
        <f t="shared" si="35"/>
        <v>0</v>
      </c>
      <c r="K68" s="124">
        <f t="shared" si="36"/>
        <v>0</v>
      </c>
      <c r="L68" s="121">
        <f t="shared" si="37"/>
        <v>0</v>
      </c>
      <c r="M68" s="129">
        <f t="shared" si="10"/>
        <v>0</v>
      </c>
      <c r="N68" s="179">
        <f t="shared" si="33"/>
        <v>102.27</v>
      </c>
    </row>
    <row r="69" spans="1:14" s="141" customFormat="1" ht="49.2" customHeight="1" x14ac:dyDescent="0.25">
      <c r="A69" s="140" t="s">
        <v>658</v>
      </c>
      <c r="B69" s="309" t="s">
        <v>73</v>
      </c>
      <c r="C69" s="310" t="s">
        <v>65</v>
      </c>
      <c r="D69" s="324">
        <v>404.73</v>
      </c>
      <c r="E69" s="324">
        <v>15.18</v>
      </c>
      <c r="F69" s="324">
        <v>6143.8</v>
      </c>
      <c r="G69" s="124">
        <v>0</v>
      </c>
      <c r="H69" s="124">
        <f>'MEMORIA DE CALCULO'!H379</f>
        <v>97.789500000000018</v>
      </c>
      <c r="I69" s="121">
        <f t="shared" si="34"/>
        <v>97.789500000000018</v>
      </c>
      <c r="J69" s="124">
        <f t="shared" si="35"/>
        <v>0</v>
      </c>
      <c r="K69" s="124">
        <f t="shared" si="36"/>
        <v>1484.44</v>
      </c>
      <c r="L69" s="121">
        <f t="shared" si="37"/>
        <v>1484.44</v>
      </c>
      <c r="M69" s="129">
        <f t="shared" si="10"/>
        <v>0.24161593801881573</v>
      </c>
      <c r="N69" s="179">
        <f t="shared" si="33"/>
        <v>306.94049999999999</v>
      </c>
    </row>
    <row r="70" spans="1:14" s="141" customFormat="1" ht="39.6" x14ac:dyDescent="0.25">
      <c r="A70" s="140" t="s">
        <v>659</v>
      </c>
      <c r="B70" s="309" t="s">
        <v>105</v>
      </c>
      <c r="C70" s="310" t="s">
        <v>50</v>
      </c>
      <c r="D70" s="324">
        <v>16.149999999999999</v>
      </c>
      <c r="E70" s="324">
        <v>510.39</v>
      </c>
      <c r="F70" s="327">
        <v>8242.7900000000009</v>
      </c>
      <c r="G70" s="124">
        <v>0</v>
      </c>
      <c r="H70" s="124">
        <v>4.9000000000000004</v>
      </c>
      <c r="I70" s="121">
        <f t="shared" si="34"/>
        <v>4.9000000000000004</v>
      </c>
      <c r="J70" s="124">
        <f t="shared" si="35"/>
        <v>0</v>
      </c>
      <c r="K70" s="124">
        <f t="shared" si="36"/>
        <v>2500.91</v>
      </c>
      <c r="L70" s="121">
        <f t="shared" si="37"/>
        <v>2500.91</v>
      </c>
      <c r="M70" s="129">
        <f t="shared" si="10"/>
        <v>0.30340576431038513</v>
      </c>
      <c r="N70" s="179">
        <f t="shared" si="33"/>
        <v>11.249999999999998</v>
      </c>
    </row>
    <row r="71" spans="1:14" s="141" customFormat="1" ht="27.75" customHeight="1" x14ac:dyDescent="0.25">
      <c r="A71" s="133" t="s">
        <v>926</v>
      </c>
      <c r="B71" s="317" t="s">
        <v>107</v>
      </c>
      <c r="C71" s="134"/>
      <c r="D71" s="335"/>
      <c r="E71" s="335"/>
      <c r="F71" s="338">
        <f>SUM(F72)</f>
        <v>55985.86</v>
      </c>
      <c r="G71" s="136"/>
      <c r="H71" s="136"/>
      <c r="I71" s="136"/>
      <c r="J71" s="138">
        <f t="shared" si="32"/>
        <v>0</v>
      </c>
      <c r="K71" s="138">
        <f t="shared" si="32"/>
        <v>0</v>
      </c>
      <c r="L71" s="138">
        <f t="shared" si="32"/>
        <v>0</v>
      </c>
      <c r="M71" s="139">
        <f t="shared" si="10"/>
        <v>0</v>
      </c>
    </row>
    <row r="72" spans="1:14" s="141" customFormat="1" ht="52.8" x14ac:dyDescent="0.25">
      <c r="A72" s="130" t="s">
        <v>660</v>
      </c>
      <c r="B72" s="309" t="s">
        <v>110</v>
      </c>
      <c r="C72" s="310" t="s">
        <v>111</v>
      </c>
      <c r="D72" s="324">
        <v>647.46</v>
      </c>
      <c r="E72" s="324">
        <v>86.47</v>
      </c>
      <c r="F72" s="324">
        <v>55985.86</v>
      </c>
      <c r="G72" s="124">
        <v>0</v>
      </c>
      <c r="H72" s="124">
        <v>0</v>
      </c>
      <c r="I72" s="121">
        <f>G72+H72</f>
        <v>0</v>
      </c>
      <c r="J72" s="124">
        <f>TRUNC(E72*G72,2)</f>
        <v>0</v>
      </c>
      <c r="K72" s="124">
        <f>TRUNC(E72*H72,2)</f>
        <v>0</v>
      </c>
      <c r="L72" s="121">
        <f>J72+K72</f>
        <v>0</v>
      </c>
      <c r="M72" s="129">
        <f t="shared" si="10"/>
        <v>0</v>
      </c>
      <c r="N72" s="179">
        <f t="shared" ref="N72" si="38">D72-I72</f>
        <v>647.46</v>
      </c>
    </row>
    <row r="73" spans="1:14" s="141" customFormat="1" ht="27" customHeight="1" x14ac:dyDescent="0.25">
      <c r="A73" s="133" t="s">
        <v>927</v>
      </c>
      <c r="B73" s="317" t="s">
        <v>113</v>
      </c>
      <c r="C73" s="142"/>
      <c r="D73" s="339"/>
      <c r="E73" s="339"/>
      <c r="F73" s="335">
        <f>SUM(F74)</f>
        <v>11806.48</v>
      </c>
      <c r="G73" s="137"/>
      <c r="H73" s="137"/>
      <c r="I73" s="137"/>
      <c r="J73" s="138"/>
      <c r="K73" s="138">
        <f>K74</f>
        <v>5913.41</v>
      </c>
      <c r="L73" s="137">
        <f>K73+J73</f>
        <v>5913.41</v>
      </c>
      <c r="M73" s="139">
        <f>L73/F73</f>
        <v>0.50086139137151797</v>
      </c>
    </row>
    <row r="74" spans="1:14" s="141" customFormat="1" ht="26.4" x14ac:dyDescent="0.25">
      <c r="A74" s="130" t="s">
        <v>661</v>
      </c>
      <c r="B74" s="309" t="s">
        <v>115</v>
      </c>
      <c r="C74" s="310" t="s">
        <v>116</v>
      </c>
      <c r="D74" s="324">
        <v>232</v>
      </c>
      <c r="E74" s="324">
        <v>50.89</v>
      </c>
      <c r="F74" s="324">
        <v>11806.48</v>
      </c>
      <c r="G74" s="124">
        <v>0</v>
      </c>
      <c r="H74" s="124">
        <v>116.2</v>
      </c>
      <c r="I74" s="121">
        <f>G74+H74</f>
        <v>116.2</v>
      </c>
      <c r="J74" s="124">
        <f>TRUNC(E74*G74,2)</f>
        <v>0</v>
      </c>
      <c r="K74" s="124">
        <f>TRUNC(E74*H74,2)</f>
        <v>5913.41</v>
      </c>
      <c r="L74" s="121">
        <f>J74+K74</f>
        <v>5913.41</v>
      </c>
      <c r="M74" s="129">
        <f t="shared" ref="M74" si="39">L74/F74</f>
        <v>0.50086139137151797</v>
      </c>
      <c r="N74" s="179">
        <f t="shared" ref="N74" si="40">D74-I74</f>
        <v>115.8</v>
      </c>
    </row>
    <row r="75" spans="1:14" ht="34.5" customHeight="1" x14ac:dyDescent="0.25">
      <c r="A75" s="131">
        <v>5</v>
      </c>
      <c r="B75" s="313" t="s">
        <v>118</v>
      </c>
      <c r="C75" s="132"/>
      <c r="D75" s="333"/>
      <c r="E75" s="333"/>
      <c r="F75" s="334">
        <f>SUM(F76:F78)</f>
        <v>53575.28</v>
      </c>
      <c r="G75" s="128"/>
      <c r="H75" s="128"/>
      <c r="I75" s="128"/>
      <c r="J75" s="117">
        <f>J76</f>
        <v>2977.66</v>
      </c>
      <c r="K75" s="117">
        <f>K76+K77+K78</f>
        <v>4520.7393000000002</v>
      </c>
      <c r="L75" s="117">
        <f>K75+J75</f>
        <v>7498.3993</v>
      </c>
      <c r="M75" s="314">
        <f>L75/F75</f>
        <v>0.13996005807155837</v>
      </c>
    </row>
    <row r="76" spans="1:14" s="141" customFormat="1" ht="52.8" x14ac:dyDescent="0.25">
      <c r="A76" s="140" t="s">
        <v>662</v>
      </c>
      <c r="B76" s="309" t="s">
        <v>120</v>
      </c>
      <c r="C76" s="310" t="s">
        <v>24</v>
      </c>
      <c r="D76" s="324">
        <v>914.03</v>
      </c>
      <c r="E76" s="324">
        <v>45.43</v>
      </c>
      <c r="F76" s="324">
        <v>41524.379999999997</v>
      </c>
      <c r="G76" s="124">
        <v>65.543999999999997</v>
      </c>
      <c r="H76" s="124">
        <v>99.51</v>
      </c>
      <c r="I76" s="121">
        <f>G76+H76</f>
        <v>165.054</v>
      </c>
      <c r="J76" s="124">
        <f>TRUNC(E76*G76,2)</f>
        <v>2977.66</v>
      </c>
      <c r="K76" s="124">
        <f>H76*E76</f>
        <v>4520.7393000000002</v>
      </c>
      <c r="L76" s="121">
        <f>J76+K76</f>
        <v>7498.3993</v>
      </c>
      <c r="M76" s="129">
        <f t="shared" ref="M76:M87" si="41">L76/F76</f>
        <v>0.18057823620725946</v>
      </c>
      <c r="N76" s="179">
        <f t="shared" ref="N76:N78" si="42">D76-I76</f>
        <v>748.976</v>
      </c>
    </row>
    <row r="77" spans="1:14" s="141" customFormat="1" ht="26.4" x14ac:dyDescent="0.25">
      <c r="A77" s="130" t="s">
        <v>663</v>
      </c>
      <c r="B77" s="309" t="s">
        <v>122</v>
      </c>
      <c r="C77" s="310" t="s">
        <v>116</v>
      </c>
      <c r="D77" s="324">
        <v>295.3</v>
      </c>
      <c r="E77" s="324">
        <v>21.79</v>
      </c>
      <c r="F77" s="324">
        <v>6434.58</v>
      </c>
      <c r="G77" s="124">
        <v>0</v>
      </c>
      <c r="H77" s="124">
        <v>0</v>
      </c>
      <c r="I77" s="121">
        <f>G77+H77</f>
        <v>0</v>
      </c>
      <c r="J77" s="124">
        <f>TRUNC(E77*G77,2)</f>
        <v>0</v>
      </c>
      <c r="K77" s="124">
        <f>TRUNC(E77*H77,2)</f>
        <v>0</v>
      </c>
      <c r="L77" s="121">
        <f>J77+K77</f>
        <v>0</v>
      </c>
      <c r="M77" s="129">
        <f t="shared" si="41"/>
        <v>0</v>
      </c>
      <c r="N77" s="179">
        <f t="shared" si="42"/>
        <v>295.3</v>
      </c>
    </row>
    <row r="78" spans="1:14" s="141" customFormat="1" x14ac:dyDescent="0.25">
      <c r="A78" s="130" t="s">
        <v>664</v>
      </c>
      <c r="B78" s="309" t="s">
        <v>124</v>
      </c>
      <c r="C78" s="310" t="s">
        <v>24</v>
      </c>
      <c r="D78" s="324">
        <v>12.92</v>
      </c>
      <c r="E78" s="324">
        <v>434.7</v>
      </c>
      <c r="F78" s="327">
        <v>5616.32</v>
      </c>
      <c r="G78" s="124">
        <v>0</v>
      </c>
      <c r="H78" s="124">
        <v>0</v>
      </c>
      <c r="I78" s="121">
        <f>G78+H78</f>
        <v>0</v>
      </c>
      <c r="J78" s="124">
        <f>TRUNC(E78*G78,2)</f>
        <v>0</v>
      </c>
      <c r="K78" s="124">
        <f>TRUNC(E78*H78,2)</f>
        <v>0</v>
      </c>
      <c r="L78" s="121">
        <f>J78+K78</f>
        <v>0</v>
      </c>
      <c r="M78" s="129">
        <f t="shared" si="41"/>
        <v>0</v>
      </c>
      <c r="N78" s="179">
        <f t="shared" si="42"/>
        <v>12.92</v>
      </c>
    </row>
    <row r="79" spans="1:14" s="141" customFormat="1" ht="25.5" customHeight="1" x14ac:dyDescent="0.25">
      <c r="A79" s="143">
        <v>6</v>
      </c>
      <c r="B79" s="319" t="s">
        <v>126</v>
      </c>
      <c r="C79" s="144"/>
      <c r="D79" s="340"/>
      <c r="E79" s="340"/>
      <c r="F79" s="341">
        <f>F80+F88+F92+F94+F106</f>
        <v>149488.57</v>
      </c>
      <c r="G79" s="145"/>
      <c r="H79" s="145"/>
      <c r="I79" s="145"/>
      <c r="J79" s="146"/>
      <c r="K79" s="146"/>
      <c r="L79" s="146">
        <f t="shared" ref="L79" si="43">SUM(L81)</f>
        <v>0</v>
      </c>
      <c r="M79" s="147">
        <f t="shared" si="41"/>
        <v>0</v>
      </c>
    </row>
    <row r="80" spans="1:14" s="141" customFormat="1" ht="27" customHeight="1" x14ac:dyDescent="0.25">
      <c r="A80" s="133" t="s">
        <v>928</v>
      </c>
      <c r="B80" s="317" t="s">
        <v>128</v>
      </c>
      <c r="C80" s="134"/>
      <c r="D80" s="335"/>
      <c r="E80" s="335"/>
      <c r="F80" s="338">
        <f>SUM(F81:F87)</f>
        <v>25618.06</v>
      </c>
      <c r="G80" s="136"/>
      <c r="H80" s="136"/>
      <c r="I80" s="136"/>
      <c r="J80" s="138">
        <f>SUM(J81:J87)</f>
        <v>0</v>
      </c>
      <c r="K80" s="138">
        <f>SUM(K81:K87)</f>
        <v>0</v>
      </c>
      <c r="L80" s="138"/>
      <c r="M80" s="139">
        <f>L80/F80</f>
        <v>0</v>
      </c>
    </row>
    <row r="81" spans="1:14" s="141" customFormat="1" ht="66" x14ac:dyDescent="0.25">
      <c r="A81" s="130" t="s">
        <v>665</v>
      </c>
      <c r="B81" s="309" t="s">
        <v>130</v>
      </c>
      <c r="C81" s="310" t="s">
        <v>31</v>
      </c>
      <c r="D81" s="324">
        <v>7</v>
      </c>
      <c r="E81" s="324">
        <v>894.39</v>
      </c>
      <c r="F81" s="324">
        <v>6260.73</v>
      </c>
      <c r="G81" s="124">
        <v>0</v>
      </c>
      <c r="H81" s="124">
        <v>0</v>
      </c>
      <c r="I81" s="121">
        <f>G81+H81</f>
        <v>0</v>
      </c>
      <c r="J81" s="124">
        <f>TRUNC(E81*G81,2)</f>
        <v>0</v>
      </c>
      <c r="K81" s="124">
        <f>TRUNC(E81*H81,2)</f>
        <v>0</v>
      </c>
      <c r="L81" s="121">
        <f>J81+K81</f>
        <v>0</v>
      </c>
      <c r="M81" s="129">
        <f t="shared" si="41"/>
        <v>0</v>
      </c>
      <c r="N81" s="179">
        <f t="shared" ref="N81:N87" si="44">D81-I81</f>
        <v>7</v>
      </c>
    </row>
    <row r="82" spans="1:14" s="141" customFormat="1" ht="66" x14ac:dyDescent="0.25">
      <c r="A82" s="130" t="s">
        <v>666</v>
      </c>
      <c r="B82" s="309" t="s">
        <v>132</v>
      </c>
      <c r="C82" s="310" t="s">
        <v>31</v>
      </c>
      <c r="D82" s="324">
        <v>7</v>
      </c>
      <c r="E82" s="324">
        <v>742.48</v>
      </c>
      <c r="F82" s="324">
        <v>5197.3599999999997</v>
      </c>
      <c r="G82" s="124">
        <v>0</v>
      </c>
      <c r="H82" s="124">
        <v>0</v>
      </c>
      <c r="I82" s="121">
        <f>G82+H82</f>
        <v>0</v>
      </c>
      <c r="J82" s="124">
        <f>TRUNC(E82*G82,2)</f>
        <v>0</v>
      </c>
      <c r="K82" s="124">
        <f>TRUNC(E82*H82,2)</f>
        <v>0</v>
      </c>
      <c r="L82" s="121">
        <f>J82+K82</f>
        <v>0</v>
      </c>
      <c r="M82" s="129">
        <f t="shared" si="41"/>
        <v>0</v>
      </c>
      <c r="N82" s="179">
        <f t="shared" si="44"/>
        <v>7</v>
      </c>
    </row>
    <row r="83" spans="1:14" s="141" customFormat="1" ht="66" x14ac:dyDescent="0.25">
      <c r="A83" s="130" t="s">
        <v>667</v>
      </c>
      <c r="B83" s="309" t="s">
        <v>130</v>
      </c>
      <c r="C83" s="310" t="s">
        <v>31</v>
      </c>
      <c r="D83" s="324">
        <v>2</v>
      </c>
      <c r="E83" s="324">
        <v>894.39</v>
      </c>
      <c r="F83" s="324">
        <v>1788.78</v>
      </c>
      <c r="G83" s="124">
        <v>0</v>
      </c>
      <c r="H83" s="124">
        <v>0</v>
      </c>
      <c r="I83" s="121">
        <f>G83+H83</f>
        <v>0</v>
      </c>
      <c r="J83" s="124">
        <f>TRUNC(E83*G83,2)</f>
        <v>0</v>
      </c>
      <c r="K83" s="124">
        <f>TRUNC(E83*H83,2)</f>
        <v>0</v>
      </c>
      <c r="L83" s="121">
        <f>J83+K83</f>
        <v>0</v>
      </c>
      <c r="M83" s="129">
        <f t="shared" si="41"/>
        <v>0</v>
      </c>
      <c r="N83" s="179">
        <f t="shared" si="44"/>
        <v>2</v>
      </c>
    </row>
    <row r="84" spans="1:14" s="141" customFormat="1" ht="52.8" x14ac:dyDescent="0.25">
      <c r="A84" s="130" t="s">
        <v>668</v>
      </c>
      <c r="B84" s="309" t="s">
        <v>134</v>
      </c>
      <c r="C84" s="310" t="s">
        <v>31</v>
      </c>
      <c r="D84" s="325">
        <v>1</v>
      </c>
      <c r="E84" s="325">
        <v>1208.27</v>
      </c>
      <c r="F84" s="325">
        <v>1208.27</v>
      </c>
      <c r="G84" s="124">
        <v>0</v>
      </c>
      <c r="H84" s="124">
        <v>0</v>
      </c>
      <c r="I84" s="121">
        <f>G84+H84</f>
        <v>0</v>
      </c>
      <c r="J84" s="124">
        <f>TRUNC(E84*G84,2)</f>
        <v>0</v>
      </c>
      <c r="K84" s="124">
        <f>TRUNC(E84*H84,2)</f>
        <v>0</v>
      </c>
      <c r="L84" s="121">
        <f>J84+K84</f>
        <v>0</v>
      </c>
      <c r="M84" s="129">
        <f t="shared" si="41"/>
        <v>0</v>
      </c>
      <c r="N84" s="179">
        <f t="shared" si="44"/>
        <v>1</v>
      </c>
    </row>
    <row r="85" spans="1:14" s="141" customFormat="1" ht="66" x14ac:dyDescent="0.25">
      <c r="A85" s="130" t="s">
        <v>669</v>
      </c>
      <c r="B85" s="309" t="s">
        <v>136</v>
      </c>
      <c r="C85" s="310" t="s">
        <v>31</v>
      </c>
      <c r="D85" s="326">
        <v>3</v>
      </c>
      <c r="E85" s="326">
        <v>1210.94</v>
      </c>
      <c r="F85" s="326">
        <v>3632.82</v>
      </c>
      <c r="G85" s="124">
        <v>0</v>
      </c>
      <c r="H85" s="124">
        <v>0</v>
      </c>
      <c r="I85" s="121">
        <f t="shared" ref="I85:I87" si="45">G85+H85</f>
        <v>0</v>
      </c>
      <c r="J85" s="124">
        <f t="shared" ref="J85:J87" si="46">TRUNC(E85*G85,2)</f>
        <v>0</v>
      </c>
      <c r="K85" s="124">
        <f t="shared" ref="K85:K87" si="47">TRUNC(E85*H85,2)</f>
        <v>0</v>
      </c>
      <c r="L85" s="121">
        <f t="shared" ref="L85:L87" si="48">J85+K85</f>
        <v>0</v>
      </c>
      <c r="M85" s="129">
        <f t="shared" si="41"/>
        <v>0</v>
      </c>
      <c r="N85" s="179">
        <f t="shared" si="44"/>
        <v>3</v>
      </c>
    </row>
    <row r="86" spans="1:14" s="141" customFormat="1" ht="60.6" customHeight="1" x14ac:dyDescent="0.25">
      <c r="A86" s="130" t="s">
        <v>670</v>
      </c>
      <c r="B86" s="309" t="s">
        <v>138</v>
      </c>
      <c r="C86" s="310" t="s">
        <v>31</v>
      </c>
      <c r="D86" s="324">
        <v>3</v>
      </c>
      <c r="E86" s="324">
        <v>1377.86</v>
      </c>
      <c r="F86" s="324">
        <v>4133.58</v>
      </c>
      <c r="G86" s="124">
        <v>0</v>
      </c>
      <c r="H86" s="124">
        <v>0</v>
      </c>
      <c r="I86" s="121">
        <f t="shared" si="45"/>
        <v>0</v>
      </c>
      <c r="J86" s="124">
        <f t="shared" si="46"/>
        <v>0</v>
      </c>
      <c r="K86" s="124">
        <f t="shared" si="47"/>
        <v>0</v>
      </c>
      <c r="L86" s="121">
        <f t="shared" si="48"/>
        <v>0</v>
      </c>
      <c r="M86" s="129">
        <f t="shared" si="41"/>
        <v>0</v>
      </c>
      <c r="N86" s="179">
        <f t="shared" si="44"/>
        <v>3</v>
      </c>
    </row>
    <row r="87" spans="1:14" s="141" customFormat="1" ht="39.6" x14ac:dyDescent="0.25">
      <c r="A87" s="130" t="s">
        <v>671</v>
      </c>
      <c r="B87" s="309" t="s">
        <v>140</v>
      </c>
      <c r="C87" s="310" t="s">
        <v>31</v>
      </c>
      <c r="D87" s="324">
        <v>2</v>
      </c>
      <c r="E87" s="324">
        <v>1698.26</v>
      </c>
      <c r="F87" s="324">
        <v>3396.52</v>
      </c>
      <c r="G87" s="124">
        <v>0</v>
      </c>
      <c r="H87" s="124">
        <v>0</v>
      </c>
      <c r="I87" s="121">
        <f t="shared" si="45"/>
        <v>0</v>
      </c>
      <c r="J87" s="124">
        <f t="shared" si="46"/>
        <v>0</v>
      </c>
      <c r="K87" s="124">
        <f t="shared" si="47"/>
        <v>0</v>
      </c>
      <c r="L87" s="121">
        <f t="shared" si="48"/>
        <v>0</v>
      </c>
      <c r="M87" s="129">
        <f t="shared" si="41"/>
        <v>0</v>
      </c>
      <c r="N87" s="179">
        <f t="shared" si="44"/>
        <v>2</v>
      </c>
    </row>
    <row r="88" spans="1:14" ht="25.5" customHeight="1" x14ac:dyDescent="0.25">
      <c r="A88" s="133" t="s">
        <v>929</v>
      </c>
      <c r="B88" s="317" t="s">
        <v>142</v>
      </c>
      <c r="C88" s="134"/>
      <c r="D88" s="335"/>
      <c r="E88" s="335"/>
      <c r="F88" s="342">
        <f>SUM(F89:F91)</f>
        <v>996.44999999999993</v>
      </c>
      <c r="G88" s="136"/>
      <c r="H88" s="136"/>
      <c r="I88" s="136"/>
      <c r="J88" s="138">
        <f>SUM(J89:J91)</f>
        <v>0</v>
      </c>
      <c r="K88" s="138">
        <f>SUM(K89:K91)</f>
        <v>0</v>
      </c>
      <c r="L88" s="138"/>
      <c r="M88" s="139">
        <f>L88/F88</f>
        <v>0</v>
      </c>
    </row>
    <row r="89" spans="1:14" s="141" customFormat="1" ht="26.4" x14ac:dyDescent="0.25">
      <c r="A89" s="130" t="s">
        <v>672</v>
      </c>
      <c r="B89" s="309" t="s">
        <v>144</v>
      </c>
      <c r="C89" s="310" t="s">
        <v>31</v>
      </c>
      <c r="D89" s="324">
        <v>2</v>
      </c>
      <c r="E89" s="324">
        <v>278.38</v>
      </c>
      <c r="F89" s="324">
        <v>556.76</v>
      </c>
      <c r="G89" s="124">
        <v>0</v>
      </c>
      <c r="H89" s="124">
        <v>0</v>
      </c>
      <c r="I89" s="121">
        <f>G89+H89</f>
        <v>0</v>
      </c>
      <c r="J89" s="124">
        <f>TRUNC(E89*G89,2)</f>
        <v>0</v>
      </c>
      <c r="K89" s="124">
        <f>TRUNC(E89*H89,2)</f>
        <v>0</v>
      </c>
      <c r="L89" s="121">
        <f>J89+K89</f>
        <v>0</v>
      </c>
      <c r="M89" s="129">
        <f t="shared" ref="M89:M105" si="49">L89/F89</f>
        <v>0</v>
      </c>
      <c r="N89" s="179">
        <f t="shared" ref="N89:N91" si="50">D89-I89</f>
        <v>2</v>
      </c>
    </row>
    <row r="90" spans="1:14" s="141" customFormat="1" ht="26.4" x14ac:dyDescent="0.25">
      <c r="A90" s="130" t="s">
        <v>673</v>
      </c>
      <c r="B90" s="309" t="s">
        <v>146</v>
      </c>
      <c r="C90" s="310" t="s">
        <v>31</v>
      </c>
      <c r="D90" s="324">
        <v>5</v>
      </c>
      <c r="E90" s="324">
        <v>48.08</v>
      </c>
      <c r="F90" s="324">
        <v>240.4</v>
      </c>
      <c r="G90" s="124">
        <v>0</v>
      </c>
      <c r="H90" s="124">
        <v>0</v>
      </c>
      <c r="I90" s="121">
        <f>G90+H90</f>
        <v>0</v>
      </c>
      <c r="J90" s="124">
        <f>TRUNC(E90*G90,2)</f>
        <v>0</v>
      </c>
      <c r="K90" s="124">
        <f>TRUNC(E90*H90,2)</f>
        <v>0</v>
      </c>
      <c r="L90" s="121">
        <f>J90+K90</f>
        <v>0</v>
      </c>
      <c r="M90" s="129">
        <f t="shared" si="49"/>
        <v>0</v>
      </c>
      <c r="N90" s="179">
        <f t="shared" si="50"/>
        <v>5</v>
      </c>
    </row>
    <row r="91" spans="1:14" s="141" customFormat="1" ht="26.4" x14ac:dyDescent="0.25">
      <c r="A91" s="130" t="s">
        <v>674</v>
      </c>
      <c r="B91" s="309" t="s">
        <v>148</v>
      </c>
      <c r="C91" s="310" t="s">
        <v>111</v>
      </c>
      <c r="D91" s="324">
        <v>2.88</v>
      </c>
      <c r="E91" s="324">
        <v>69.2</v>
      </c>
      <c r="F91" s="327">
        <v>199.29</v>
      </c>
      <c r="G91" s="124">
        <v>0</v>
      </c>
      <c r="H91" s="124">
        <v>0</v>
      </c>
      <c r="I91" s="121">
        <f>G91+H91</f>
        <v>0</v>
      </c>
      <c r="J91" s="124">
        <f>TRUNC(E91*G91,2)</f>
        <v>0</v>
      </c>
      <c r="K91" s="124">
        <f>TRUNC(E91*H91,2)</f>
        <v>0</v>
      </c>
      <c r="L91" s="121">
        <f>J91+K91</f>
        <v>0</v>
      </c>
      <c r="M91" s="129">
        <f t="shared" si="49"/>
        <v>0</v>
      </c>
      <c r="N91" s="179">
        <f t="shared" si="50"/>
        <v>2.88</v>
      </c>
    </row>
    <row r="92" spans="1:14" s="141" customFormat="1" ht="21" customHeight="1" x14ac:dyDescent="0.25">
      <c r="A92" s="133" t="s">
        <v>930</v>
      </c>
      <c r="B92" s="317" t="s">
        <v>150</v>
      </c>
      <c r="C92" s="134"/>
      <c r="D92" s="335"/>
      <c r="E92" s="335"/>
      <c r="F92" s="338">
        <f>F93</f>
        <v>461.96</v>
      </c>
      <c r="G92" s="136"/>
      <c r="H92" s="136"/>
      <c r="I92" s="136"/>
      <c r="J92" s="138">
        <f>SUM(J93:J93)</f>
        <v>0</v>
      </c>
      <c r="K92" s="138">
        <f>SUM(K93:K93)</f>
        <v>0</v>
      </c>
      <c r="L92" s="138">
        <f>SUM(L93:L93)</f>
        <v>0</v>
      </c>
      <c r="M92" s="139">
        <f t="shared" si="49"/>
        <v>0</v>
      </c>
    </row>
    <row r="93" spans="1:14" s="141" customFormat="1" ht="39.6" x14ac:dyDescent="0.25">
      <c r="A93" s="130" t="s">
        <v>675</v>
      </c>
      <c r="B93" s="309" t="s">
        <v>152</v>
      </c>
      <c r="C93" s="310" t="s">
        <v>24</v>
      </c>
      <c r="D93" s="324">
        <v>1.68</v>
      </c>
      <c r="E93" s="324">
        <v>274.98</v>
      </c>
      <c r="F93" s="327">
        <v>461.96</v>
      </c>
      <c r="G93" s="124">
        <v>0</v>
      </c>
      <c r="H93" s="124">
        <v>0</v>
      </c>
      <c r="I93" s="121">
        <f>G93+H93</f>
        <v>0</v>
      </c>
      <c r="J93" s="124">
        <f>TRUNC(E93*G93,2)</f>
        <v>0</v>
      </c>
      <c r="K93" s="124">
        <f>TRUNC(E93*H93,2)</f>
        <v>0</v>
      </c>
      <c r="L93" s="121">
        <f>J93+K93</f>
        <v>0</v>
      </c>
      <c r="M93" s="129">
        <f t="shared" si="49"/>
        <v>0</v>
      </c>
      <c r="N93" s="179">
        <f t="shared" ref="N93" si="51">D93-I93</f>
        <v>1.68</v>
      </c>
    </row>
    <row r="94" spans="1:14" s="141" customFormat="1" ht="27" customHeight="1" x14ac:dyDescent="0.25">
      <c r="A94" s="133" t="s">
        <v>931</v>
      </c>
      <c r="B94" s="317" t="s">
        <v>154</v>
      </c>
      <c r="C94" s="134"/>
      <c r="D94" s="335"/>
      <c r="E94" s="335"/>
      <c r="F94" s="338">
        <f>SUM(F95:F105)</f>
        <v>120131.96</v>
      </c>
      <c r="G94" s="136"/>
      <c r="H94" s="136"/>
      <c r="I94" s="136"/>
      <c r="J94" s="138">
        <f>SUM(J95:J105)</f>
        <v>0</v>
      </c>
      <c r="K94" s="138">
        <f>SUM(K95:K105)</f>
        <v>0</v>
      </c>
      <c r="L94" s="138">
        <f>SUM(L95:L95)</f>
        <v>0</v>
      </c>
      <c r="M94" s="139">
        <f t="shared" si="49"/>
        <v>0</v>
      </c>
    </row>
    <row r="95" spans="1:14" s="141" customFormat="1" ht="39.6" x14ac:dyDescent="0.25">
      <c r="A95" s="130" t="s">
        <v>676</v>
      </c>
      <c r="B95" s="309" t="s">
        <v>156</v>
      </c>
      <c r="C95" s="310" t="s">
        <v>24</v>
      </c>
      <c r="D95" s="324">
        <v>0.24</v>
      </c>
      <c r="E95" s="324">
        <v>1295.3699999999999</v>
      </c>
      <c r="F95" s="324">
        <v>310.88</v>
      </c>
      <c r="G95" s="124">
        <v>0</v>
      </c>
      <c r="H95" s="124">
        <v>0</v>
      </c>
      <c r="I95" s="121">
        <f t="shared" ref="I95:I105" si="52">G95+H95</f>
        <v>0</v>
      </c>
      <c r="J95" s="124">
        <f t="shared" ref="J95:J105" si="53">TRUNC(E95*G95,2)</f>
        <v>0</v>
      </c>
      <c r="K95" s="124">
        <f t="shared" ref="K95:K105" si="54">TRUNC(E95*H95,2)</f>
        <v>0</v>
      </c>
      <c r="L95" s="121">
        <f t="shared" ref="L95:L105" si="55">J95+K95</f>
        <v>0</v>
      </c>
      <c r="M95" s="129">
        <f t="shared" si="49"/>
        <v>0</v>
      </c>
      <c r="N95" s="179">
        <f t="shared" ref="N95:N105" si="56">D95-I95</f>
        <v>0.24</v>
      </c>
    </row>
    <row r="96" spans="1:14" s="141" customFormat="1" ht="39.6" x14ac:dyDescent="0.25">
      <c r="A96" s="130" t="s">
        <v>677</v>
      </c>
      <c r="B96" s="309" t="s">
        <v>156</v>
      </c>
      <c r="C96" s="310" t="s">
        <v>24</v>
      </c>
      <c r="D96" s="324">
        <v>1.08</v>
      </c>
      <c r="E96" s="324">
        <v>1295.3699999999999</v>
      </c>
      <c r="F96" s="324">
        <v>1398.99</v>
      </c>
      <c r="G96" s="124">
        <v>0</v>
      </c>
      <c r="H96" s="124">
        <v>0</v>
      </c>
      <c r="I96" s="121">
        <f t="shared" si="52"/>
        <v>0</v>
      </c>
      <c r="J96" s="124">
        <f t="shared" si="53"/>
        <v>0</v>
      </c>
      <c r="K96" s="124">
        <f t="shared" si="54"/>
        <v>0</v>
      </c>
      <c r="L96" s="121">
        <f t="shared" si="55"/>
        <v>0</v>
      </c>
      <c r="M96" s="129">
        <f t="shared" si="49"/>
        <v>0</v>
      </c>
      <c r="N96" s="179">
        <f t="shared" si="56"/>
        <v>1.08</v>
      </c>
    </row>
    <row r="97" spans="1:14" s="141" customFormat="1" ht="39.6" x14ac:dyDescent="0.25">
      <c r="A97" s="130" t="s">
        <v>678</v>
      </c>
      <c r="B97" s="309" t="s">
        <v>156</v>
      </c>
      <c r="C97" s="310" t="s">
        <v>24</v>
      </c>
      <c r="D97" s="324">
        <v>3.2</v>
      </c>
      <c r="E97" s="324">
        <v>1295.3699999999999</v>
      </c>
      <c r="F97" s="324">
        <v>4145.18</v>
      </c>
      <c r="G97" s="124">
        <v>0</v>
      </c>
      <c r="H97" s="124">
        <v>0</v>
      </c>
      <c r="I97" s="121">
        <f t="shared" si="52"/>
        <v>0</v>
      </c>
      <c r="J97" s="124">
        <f t="shared" si="53"/>
        <v>0</v>
      </c>
      <c r="K97" s="124">
        <f t="shared" si="54"/>
        <v>0</v>
      </c>
      <c r="L97" s="121">
        <f t="shared" si="55"/>
        <v>0</v>
      </c>
      <c r="M97" s="129">
        <f t="shared" si="49"/>
        <v>0</v>
      </c>
      <c r="N97" s="179">
        <f t="shared" si="56"/>
        <v>3.2</v>
      </c>
    </row>
    <row r="98" spans="1:14" s="141" customFormat="1" ht="52.8" x14ac:dyDescent="0.25">
      <c r="A98" s="130" t="s">
        <v>679</v>
      </c>
      <c r="B98" s="309" t="s">
        <v>158</v>
      </c>
      <c r="C98" s="310" t="s">
        <v>24</v>
      </c>
      <c r="D98" s="324">
        <v>0.6</v>
      </c>
      <c r="E98" s="324">
        <v>688.71</v>
      </c>
      <c r="F98" s="324">
        <v>413.22</v>
      </c>
      <c r="G98" s="124">
        <v>0</v>
      </c>
      <c r="H98" s="124">
        <v>0</v>
      </c>
      <c r="I98" s="121">
        <f t="shared" si="52"/>
        <v>0</v>
      </c>
      <c r="J98" s="124">
        <f t="shared" si="53"/>
        <v>0</v>
      </c>
      <c r="K98" s="124">
        <f t="shared" si="54"/>
        <v>0</v>
      </c>
      <c r="L98" s="121">
        <f t="shared" si="55"/>
        <v>0</v>
      </c>
      <c r="M98" s="129">
        <f t="shared" si="49"/>
        <v>0</v>
      </c>
      <c r="N98" s="179">
        <f t="shared" si="56"/>
        <v>0.6</v>
      </c>
    </row>
    <row r="99" spans="1:14" s="141" customFormat="1" ht="52.8" x14ac:dyDescent="0.25">
      <c r="A99" s="130" t="s">
        <v>680</v>
      </c>
      <c r="B99" s="309" t="s">
        <v>158</v>
      </c>
      <c r="C99" s="310" t="s">
        <v>24</v>
      </c>
      <c r="D99" s="324">
        <v>6</v>
      </c>
      <c r="E99" s="324">
        <v>688.71</v>
      </c>
      <c r="F99" s="324">
        <v>4132.26</v>
      </c>
      <c r="G99" s="124">
        <v>0</v>
      </c>
      <c r="H99" s="124">
        <v>0</v>
      </c>
      <c r="I99" s="121">
        <f t="shared" si="52"/>
        <v>0</v>
      </c>
      <c r="J99" s="124">
        <f t="shared" si="53"/>
        <v>0</v>
      </c>
      <c r="K99" s="124">
        <f t="shared" si="54"/>
        <v>0</v>
      </c>
      <c r="L99" s="121">
        <f t="shared" si="55"/>
        <v>0</v>
      </c>
      <c r="M99" s="129">
        <f t="shared" si="49"/>
        <v>0</v>
      </c>
      <c r="N99" s="179">
        <f t="shared" si="56"/>
        <v>6</v>
      </c>
    </row>
    <row r="100" spans="1:14" s="141" customFormat="1" ht="39.6" x14ac:dyDescent="0.25">
      <c r="A100" s="130" t="s">
        <v>681</v>
      </c>
      <c r="B100" s="309" t="s">
        <v>156</v>
      </c>
      <c r="C100" s="310" t="s">
        <v>24</v>
      </c>
      <c r="D100" s="324">
        <v>3.3</v>
      </c>
      <c r="E100" s="324">
        <v>1295.3699999999999</v>
      </c>
      <c r="F100" s="324">
        <v>4274.72</v>
      </c>
      <c r="G100" s="124">
        <v>0</v>
      </c>
      <c r="H100" s="124">
        <v>0</v>
      </c>
      <c r="I100" s="121">
        <f t="shared" si="52"/>
        <v>0</v>
      </c>
      <c r="J100" s="124">
        <f t="shared" si="53"/>
        <v>0</v>
      </c>
      <c r="K100" s="124">
        <f t="shared" si="54"/>
        <v>0</v>
      </c>
      <c r="L100" s="121">
        <f t="shared" si="55"/>
        <v>0</v>
      </c>
      <c r="M100" s="129">
        <f t="shared" si="49"/>
        <v>0</v>
      </c>
      <c r="N100" s="179">
        <f t="shared" si="56"/>
        <v>3.3</v>
      </c>
    </row>
    <row r="101" spans="1:14" s="141" customFormat="1" ht="39.6" x14ac:dyDescent="0.25">
      <c r="A101" s="130" t="s">
        <v>682</v>
      </c>
      <c r="B101" s="309" t="s">
        <v>156</v>
      </c>
      <c r="C101" s="310" t="s">
        <v>24</v>
      </c>
      <c r="D101" s="324">
        <v>8.8000000000000007</v>
      </c>
      <c r="E101" s="324">
        <v>1295.3699999999999</v>
      </c>
      <c r="F101" s="324">
        <v>11399.25</v>
      </c>
      <c r="G101" s="124">
        <v>0</v>
      </c>
      <c r="H101" s="124">
        <v>0</v>
      </c>
      <c r="I101" s="121">
        <f t="shared" si="52"/>
        <v>0</v>
      </c>
      <c r="J101" s="124">
        <f t="shared" si="53"/>
        <v>0</v>
      </c>
      <c r="K101" s="124">
        <f t="shared" si="54"/>
        <v>0</v>
      </c>
      <c r="L101" s="121">
        <f t="shared" si="55"/>
        <v>0</v>
      </c>
      <c r="M101" s="129">
        <f t="shared" si="49"/>
        <v>0</v>
      </c>
      <c r="N101" s="179">
        <f t="shared" si="56"/>
        <v>8.8000000000000007</v>
      </c>
    </row>
    <row r="102" spans="1:14" s="141" customFormat="1" ht="39.6" x14ac:dyDescent="0.25">
      <c r="A102" s="130" t="s">
        <v>683</v>
      </c>
      <c r="B102" s="309" t="s">
        <v>156</v>
      </c>
      <c r="C102" s="310" t="s">
        <v>24</v>
      </c>
      <c r="D102" s="324">
        <v>67.760000000000005</v>
      </c>
      <c r="E102" s="324">
        <v>1295.3699999999999</v>
      </c>
      <c r="F102" s="324">
        <v>87774.27</v>
      </c>
      <c r="G102" s="124">
        <v>0</v>
      </c>
      <c r="H102" s="124">
        <v>0</v>
      </c>
      <c r="I102" s="121">
        <f t="shared" si="52"/>
        <v>0</v>
      </c>
      <c r="J102" s="124">
        <f t="shared" si="53"/>
        <v>0</v>
      </c>
      <c r="K102" s="124">
        <f t="shared" si="54"/>
        <v>0</v>
      </c>
      <c r="L102" s="121">
        <f t="shared" si="55"/>
        <v>0</v>
      </c>
      <c r="M102" s="129">
        <f t="shared" si="49"/>
        <v>0</v>
      </c>
      <c r="N102" s="179">
        <f t="shared" si="56"/>
        <v>67.760000000000005</v>
      </c>
    </row>
    <row r="103" spans="1:14" s="141" customFormat="1" x14ac:dyDescent="0.25">
      <c r="A103" s="130" t="s">
        <v>684</v>
      </c>
      <c r="B103" s="309" t="s">
        <v>160</v>
      </c>
      <c r="C103" s="310" t="s">
        <v>24</v>
      </c>
      <c r="D103" s="324">
        <v>6.48</v>
      </c>
      <c r="E103" s="324">
        <v>483.96</v>
      </c>
      <c r="F103" s="324">
        <v>3136.06</v>
      </c>
      <c r="G103" s="124">
        <v>0</v>
      </c>
      <c r="H103" s="124">
        <v>0</v>
      </c>
      <c r="I103" s="121">
        <f t="shared" si="52"/>
        <v>0</v>
      </c>
      <c r="J103" s="124">
        <f t="shared" si="53"/>
        <v>0</v>
      </c>
      <c r="K103" s="124">
        <f t="shared" si="54"/>
        <v>0</v>
      </c>
      <c r="L103" s="121">
        <f t="shared" si="55"/>
        <v>0</v>
      </c>
      <c r="M103" s="129">
        <f t="shared" si="49"/>
        <v>0</v>
      </c>
      <c r="N103" s="179">
        <f t="shared" si="56"/>
        <v>6.48</v>
      </c>
    </row>
    <row r="104" spans="1:14" s="141" customFormat="1" ht="39.6" x14ac:dyDescent="0.25">
      <c r="A104" s="130" t="s">
        <v>685</v>
      </c>
      <c r="B104" s="309" t="s">
        <v>162</v>
      </c>
      <c r="C104" s="310" t="s">
        <v>24</v>
      </c>
      <c r="D104" s="324">
        <v>1.98</v>
      </c>
      <c r="E104" s="324">
        <v>1468.47</v>
      </c>
      <c r="F104" s="324">
        <v>2907.57</v>
      </c>
      <c r="G104" s="124">
        <v>0</v>
      </c>
      <c r="H104" s="124">
        <v>0</v>
      </c>
      <c r="I104" s="121">
        <f t="shared" si="52"/>
        <v>0</v>
      </c>
      <c r="J104" s="124">
        <f t="shared" si="53"/>
        <v>0</v>
      </c>
      <c r="K104" s="124">
        <f t="shared" si="54"/>
        <v>0</v>
      </c>
      <c r="L104" s="121">
        <f t="shared" si="55"/>
        <v>0</v>
      </c>
      <c r="M104" s="129">
        <f t="shared" si="49"/>
        <v>0</v>
      </c>
      <c r="N104" s="179">
        <f t="shared" si="56"/>
        <v>1.98</v>
      </c>
    </row>
    <row r="105" spans="1:14" s="141" customFormat="1" ht="26.4" x14ac:dyDescent="0.25">
      <c r="A105" s="130" t="s">
        <v>686</v>
      </c>
      <c r="B105" s="309" t="s">
        <v>164</v>
      </c>
      <c r="C105" s="310" t="s">
        <v>24</v>
      </c>
      <c r="D105" s="324">
        <v>4.2</v>
      </c>
      <c r="E105" s="324">
        <v>57.04</v>
      </c>
      <c r="F105" s="324">
        <v>239.56</v>
      </c>
      <c r="G105" s="124">
        <v>0</v>
      </c>
      <c r="H105" s="124">
        <v>0</v>
      </c>
      <c r="I105" s="121">
        <f t="shared" si="52"/>
        <v>0</v>
      </c>
      <c r="J105" s="124">
        <f t="shared" si="53"/>
        <v>0</v>
      </c>
      <c r="K105" s="124">
        <f t="shared" si="54"/>
        <v>0</v>
      </c>
      <c r="L105" s="121">
        <f t="shared" si="55"/>
        <v>0</v>
      </c>
      <c r="M105" s="129">
        <f t="shared" si="49"/>
        <v>0</v>
      </c>
      <c r="N105" s="179">
        <f t="shared" si="56"/>
        <v>4.2</v>
      </c>
    </row>
    <row r="106" spans="1:14" ht="27.75" customHeight="1" x14ac:dyDescent="0.25">
      <c r="A106" s="133" t="s">
        <v>932</v>
      </c>
      <c r="B106" s="317" t="s">
        <v>166</v>
      </c>
      <c r="C106" s="134"/>
      <c r="D106" s="335"/>
      <c r="E106" s="335"/>
      <c r="F106" s="342">
        <f>SUM(F107:F108)</f>
        <v>2280.14</v>
      </c>
      <c r="G106" s="136"/>
      <c r="H106" s="136"/>
      <c r="I106" s="136"/>
      <c r="J106" s="138">
        <f>J107+J108</f>
        <v>0</v>
      </c>
      <c r="K106" s="138">
        <f>K107+K108</f>
        <v>0</v>
      </c>
      <c r="L106" s="138"/>
      <c r="M106" s="139">
        <f>L106/F106</f>
        <v>0</v>
      </c>
    </row>
    <row r="107" spans="1:14" s="141" customFormat="1" x14ac:dyDescent="0.25">
      <c r="A107" s="130" t="s">
        <v>687</v>
      </c>
      <c r="B107" s="309" t="s">
        <v>168</v>
      </c>
      <c r="C107" s="310" t="s">
        <v>24</v>
      </c>
      <c r="D107" s="324">
        <v>1.98</v>
      </c>
      <c r="E107" s="324">
        <v>241.08</v>
      </c>
      <c r="F107" s="324">
        <v>477.33</v>
      </c>
      <c r="G107" s="124">
        <v>0</v>
      </c>
      <c r="H107" s="124">
        <v>0</v>
      </c>
      <c r="I107" s="121">
        <f>G107+H107</f>
        <v>0</v>
      </c>
      <c r="J107" s="124">
        <f>TRUNC(E107*G107,2)</f>
        <v>0</v>
      </c>
      <c r="K107" s="124">
        <f>TRUNC(E107*H107,2)</f>
        <v>0</v>
      </c>
      <c r="L107" s="121">
        <f>J107+K107</f>
        <v>0</v>
      </c>
      <c r="M107" s="129">
        <f t="shared" ref="M107:M108" si="57">L107/F107</f>
        <v>0</v>
      </c>
      <c r="N107" s="179">
        <f t="shared" ref="N107:N108" si="58">D107-I107</f>
        <v>1.98</v>
      </c>
    </row>
    <row r="108" spans="1:14" s="141" customFormat="1" ht="26.4" x14ac:dyDescent="0.25">
      <c r="A108" s="130" t="s">
        <v>688</v>
      </c>
      <c r="B108" s="309" t="s">
        <v>170</v>
      </c>
      <c r="C108" s="310" t="s">
        <v>24</v>
      </c>
      <c r="D108" s="324">
        <v>4.4000000000000004</v>
      </c>
      <c r="E108" s="324">
        <v>409.73</v>
      </c>
      <c r="F108" s="324">
        <v>1802.81</v>
      </c>
      <c r="G108" s="124">
        <v>0</v>
      </c>
      <c r="H108" s="124">
        <v>0</v>
      </c>
      <c r="I108" s="121">
        <f>G108+H108</f>
        <v>0</v>
      </c>
      <c r="J108" s="124">
        <f>TRUNC(E108*G108,2)</f>
        <v>0</v>
      </c>
      <c r="K108" s="124">
        <f>TRUNC(E108*H108,2)</f>
        <v>0</v>
      </c>
      <c r="L108" s="121">
        <f>J108+K108</f>
        <v>0</v>
      </c>
      <c r="M108" s="129">
        <f t="shared" si="57"/>
        <v>0</v>
      </c>
      <c r="N108" s="179">
        <f t="shared" si="58"/>
        <v>4.4000000000000004</v>
      </c>
    </row>
    <row r="109" spans="1:14" ht="27" customHeight="1" x14ac:dyDescent="0.25">
      <c r="A109" s="131">
        <v>7</v>
      </c>
      <c r="B109" s="313" t="s">
        <v>172</v>
      </c>
      <c r="C109" s="132"/>
      <c r="D109" s="343"/>
      <c r="E109" s="343"/>
      <c r="F109" s="344">
        <f>SUM(F110:F117)</f>
        <v>219581.14</v>
      </c>
      <c r="G109" s="128"/>
      <c r="H109" s="128"/>
      <c r="I109" s="128"/>
      <c r="J109" s="117">
        <f>SUM(J110:J117)</f>
        <v>0</v>
      </c>
      <c r="K109" s="117">
        <f>SUM(K110:K117)</f>
        <v>0</v>
      </c>
      <c r="L109" s="117">
        <f>L110+L112</f>
        <v>0</v>
      </c>
      <c r="M109" s="314">
        <f>L109/F109</f>
        <v>0</v>
      </c>
    </row>
    <row r="110" spans="1:14" s="141" customFormat="1" ht="52.8" x14ac:dyDescent="0.25">
      <c r="A110" s="130" t="s">
        <v>689</v>
      </c>
      <c r="B110" s="309" t="s">
        <v>174</v>
      </c>
      <c r="C110" s="310" t="s">
        <v>31</v>
      </c>
      <c r="D110" s="326">
        <v>23</v>
      </c>
      <c r="E110" s="326">
        <v>1737.24</v>
      </c>
      <c r="F110" s="326">
        <v>39956.519999999997</v>
      </c>
      <c r="G110" s="124">
        <v>0</v>
      </c>
      <c r="H110" s="124">
        <v>0</v>
      </c>
      <c r="I110" s="121">
        <f>G110+H110</f>
        <v>0</v>
      </c>
      <c r="J110" s="124">
        <f>TRUNC(E110*G110,2)</f>
        <v>0</v>
      </c>
      <c r="K110" s="124">
        <f>TRUNC(E110*H110,2)</f>
        <v>0</v>
      </c>
      <c r="L110" s="121">
        <f>J110+K110</f>
        <v>0</v>
      </c>
      <c r="M110" s="129">
        <f t="shared" ref="M110:M117" si="59">L110/F110</f>
        <v>0</v>
      </c>
      <c r="N110" s="179">
        <f t="shared" ref="N110:N117" si="60">D110-I110</f>
        <v>23</v>
      </c>
    </row>
    <row r="111" spans="1:14" s="141" customFormat="1" ht="52.8" x14ac:dyDescent="0.25">
      <c r="A111" s="130" t="s">
        <v>690</v>
      </c>
      <c r="B111" s="309" t="s">
        <v>176</v>
      </c>
      <c r="C111" s="310" t="s">
        <v>31</v>
      </c>
      <c r="D111" s="324">
        <v>10</v>
      </c>
      <c r="E111" s="324">
        <v>1410.29</v>
      </c>
      <c r="F111" s="324">
        <v>14102.9</v>
      </c>
      <c r="G111" s="124">
        <v>0</v>
      </c>
      <c r="H111" s="124">
        <v>0</v>
      </c>
      <c r="I111" s="121">
        <f>G111+H111</f>
        <v>0</v>
      </c>
      <c r="J111" s="124">
        <f>TRUNC(E111*G111,2)</f>
        <v>0</v>
      </c>
      <c r="K111" s="124">
        <f>TRUNC(E111*H111,2)</f>
        <v>0</v>
      </c>
      <c r="L111" s="121">
        <f>J111+K111</f>
        <v>0</v>
      </c>
      <c r="M111" s="129">
        <f t="shared" si="59"/>
        <v>0</v>
      </c>
      <c r="N111" s="179">
        <f t="shared" si="60"/>
        <v>10</v>
      </c>
    </row>
    <row r="112" spans="1:14" s="141" customFormat="1" ht="52.8" x14ac:dyDescent="0.25">
      <c r="A112" s="130" t="s">
        <v>691</v>
      </c>
      <c r="B112" s="309" t="s">
        <v>178</v>
      </c>
      <c r="C112" s="310" t="s">
        <v>31</v>
      </c>
      <c r="D112" s="324">
        <v>6</v>
      </c>
      <c r="E112" s="324">
        <v>1122</v>
      </c>
      <c r="F112" s="324">
        <v>6732</v>
      </c>
      <c r="G112" s="124">
        <v>0</v>
      </c>
      <c r="H112" s="124">
        <v>0</v>
      </c>
      <c r="I112" s="121">
        <f>G112+H112</f>
        <v>0</v>
      </c>
      <c r="J112" s="124">
        <f>TRUNC(E112*G112,2)</f>
        <v>0</v>
      </c>
      <c r="K112" s="124">
        <f>H112*E112</f>
        <v>0</v>
      </c>
      <c r="L112" s="121">
        <f>J112+K112</f>
        <v>0</v>
      </c>
      <c r="M112" s="129">
        <f t="shared" si="59"/>
        <v>0</v>
      </c>
      <c r="N112" s="179">
        <f t="shared" si="60"/>
        <v>6</v>
      </c>
    </row>
    <row r="113" spans="1:14" s="141" customFormat="1" ht="39.6" x14ac:dyDescent="0.25">
      <c r="A113" s="130" t="s">
        <v>692</v>
      </c>
      <c r="B113" s="309" t="s">
        <v>180</v>
      </c>
      <c r="C113" s="310" t="s">
        <v>31</v>
      </c>
      <c r="D113" s="324">
        <v>6</v>
      </c>
      <c r="E113" s="324">
        <v>828.65</v>
      </c>
      <c r="F113" s="324">
        <v>4971.8999999999996</v>
      </c>
      <c r="G113" s="124">
        <v>0</v>
      </c>
      <c r="H113" s="124">
        <v>0</v>
      </c>
      <c r="I113" s="121">
        <f t="shared" ref="I113:I117" si="61">G113+H113</f>
        <v>0</v>
      </c>
      <c r="J113" s="124">
        <f t="shared" ref="J113:J117" si="62">TRUNC(E113*G113,2)</f>
        <v>0</v>
      </c>
      <c r="K113" s="124">
        <f t="shared" ref="K113:K117" si="63">TRUNC(E113*H113,2)</f>
        <v>0</v>
      </c>
      <c r="L113" s="121">
        <f t="shared" ref="L113:L117" si="64">J113+K113</f>
        <v>0</v>
      </c>
      <c r="M113" s="129">
        <f t="shared" si="59"/>
        <v>0</v>
      </c>
      <c r="N113" s="179">
        <f t="shared" si="60"/>
        <v>6</v>
      </c>
    </row>
    <row r="114" spans="1:14" s="141" customFormat="1" ht="52.8" x14ac:dyDescent="0.25">
      <c r="A114" s="130" t="s">
        <v>693</v>
      </c>
      <c r="B114" s="309" t="s">
        <v>182</v>
      </c>
      <c r="C114" s="310" t="s">
        <v>24</v>
      </c>
      <c r="D114" s="324">
        <v>1189.68</v>
      </c>
      <c r="E114" s="324">
        <v>64.319999999999993</v>
      </c>
      <c r="F114" s="324">
        <v>76520.210000000006</v>
      </c>
      <c r="G114" s="124">
        <v>0</v>
      </c>
      <c r="H114" s="124">
        <v>0</v>
      </c>
      <c r="I114" s="121">
        <f t="shared" si="61"/>
        <v>0</v>
      </c>
      <c r="J114" s="124">
        <f t="shared" si="62"/>
        <v>0</v>
      </c>
      <c r="K114" s="124">
        <f t="shared" si="63"/>
        <v>0</v>
      </c>
      <c r="L114" s="121">
        <f t="shared" si="64"/>
        <v>0</v>
      </c>
      <c r="M114" s="129">
        <f t="shared" si="59"/>
        <v>0</v>
      </c>
      <c r="N114" s="179">
        <f t="shared" si="60"/>
        <v>1189.68</v>
      </c>
    </row>
    <row r="115" spans="1:14" s="141" customFormat="1" ht="26.4" x14ac:dyDescent="0.25">
      <c r="A115" s="130" t="s">
        <v>694</v>
      </c>
      <c r="B115" s="309" t="s">
        <v>184</v>
      </c>
      <c r="C115" s="310" t="s">
        <v>24</v>
      </c>
      <c r="D115" s="324">
        <v>1714.31</v>
      </c>
      <c r="E115" s="324">
        <v>16.579999999999998</v>
      </c>
      <c r="F115" s="324">
        <v>28423.25</v>
      </c>
      <c r="G115" s="124">
        <v>0</v>
      </c>
      <c r="H115" s="124">
        <v>0</v>
      </c>
      <c r="I115" s="121">
        <f t="shared" si="61"/>
        <v>0</v>
      </c>
      <c r="J115" s="124">
        <f t="shared" si="62"/>
        <v>0</v>
      </c>
      <c r="K115" s="124">
        <f t="shared" si="63"/>
        <v>0</v>
      </c>
      <c r="L115" s="121">
        <f t="shared" si="64"/>
        <v>0</v>
      </c>
      <c r="M115" s="129">
        <f t="shared" si="59"/>
        <v>0</v>
      </c>
      <c r="N115" s="179">
        <f t="shared" si="60"/>
        <v>1714.31</v>
      </c>
    </row>
    <row r="116" spans="1:14" s="141" customFormat="1" ht="39.6" x14ac:dyDescent="0.25">
      <c r="A116" s="130" t="s">
        <v>695</v>
      </c>
      <c r="B116" s="309" t="s">
        <v>186</v>
      </c>
      <c r="C116" s="310" t="s">
        <v>24</v>
      </c>
      <c r="D116" s="324">
        <v>1889.68</v>
      </c>
      <c r="E116" s="324">
        <v>23.73</v>
      </c>
      <c r="F116" s="324">
        <v>44842.1</v>
      </c>
      <c r="G116" s="124">
        <v>0</v>
      </c>
      <c r="H116" s="124">
        <v>0</v>
      </c>
      <c r="I116" s="121">
        <f t="shared" si="61"/>
        <v>0</v>
      </c>
      <c r="J116" s="124">
        <f t="shared" si="62"/>
        <v>0</v>
      </c>
      <c r="K116" s="124">
        <f t="shared" si="63"/>
        <v>0</v>
      </c>
      <c r="L116" s="121">
        <f t="shared" si="64"/>
        <v>0</v>
      </c>
      <c r="M116" s="129">
        <f t="shared" si="59"/>
        <v>0</v>
      </c>
      <c r="N116" s="179">
        <f t="shared" si="60"/>
        <v>1889.68</v>
      </c>
    </row>
    <row r="117" spans="1:14" s="141" customFormat="1" ht="52.8" x14ac:dyDescent="0.25">
      <c r="A117" s="130" t="s">
        <v>696</v>
      </c>
      <c r="B117" s="309" t="s">
        <v>188</v>
      </c>
      <c r="C117" s="310" t="s">
        <v>116</v>
      </c>
      <c r="D117" s="324">
        <v>213.8</v>
      </c>
      <c r="E117" s="324">
        <v>18.86</v>
      </c>
      <c r="F117" s="327">
        <v>4032.26</v>
      </c>
      <c r="G117" s="124">
        <v>0</v>
      </c>
      <c r="H117" s="124">
        <v>0</v>
      </c>
      <c r="I117" s="121">
        <f t="shared" si="61"/>
        <v>0</v>
      </c>
      <c r="J117" s="124">
        <f t="shared" si="62"/>
        <v>0</v>
      </c>
      <c r="K117" s="124">
        <f t="shared" si="63"/>
        <v>0</v>
      </c>
      <c r="L117" s="121">
        <f t="shared" si="64"/>
        <v>0</v>
      </c>
      <c r="M117" s="129">
        <f t="shared" si="59"/>
        <v>0</v>
      </c>
      <c r="N117" s="179">
        <f t="shared" si="60"/>
        <v>213.8</v>
      </c>
    </row>
    <row r="118" spans="1:14" ht="32.25" customHeight="1" x14ac:dyDescent="0.25">
      <c r="A118" s="131">
        <v>8</v>
      </c>
      <c r="B118" s="313" t="s">
        <v>190</v>
      </c>
      <c r="C118" s="132"/>
      <c r="D118" s="333"/>
      <c r="E118" s="333"/>
      <c r="F118" s="346">
        <f>SUM(F119)</f>
        <v>7332.25</v>
      </c>
      <c r="G118" s="128"/>
      <c r="H118" s="128"/>
      <c r="I118" s="128"/>
      <c r="J118" s="117">
        <f>J119</f>
        <v>3688.56</v>
      </c>
      <c r="K118" s="117">
        <f>K119</f>
        <v>3643.6940399999994</v>
      </c>
      <c r="L118" s="117">
        <f>L119</f>
        <v>7332.2540399999998</v>
      </c>
      <c r="M118" s="314">
        <f>L118/F118</f>
        <v>1.0000005509904872</v>
      </c>
    </row>
    <row r="119" spans="1:14" s="141" customFormat="1" ht="27.75" customHeight="1" x14ac:dyDescent="0.25">
      <c r="A119" s="140" t="s">
        <v>697</v>
      </c>
      <c r="B119" s="309" t="s">
        <v>192</v>
      </c>
      <c r="C119" s="310" t="s">
        <v>24</v>
      </c>
      <c r="D119" s="324">
        <v>463.48</v>
      </c>
      <c r="E119" s="324">
        <v>15.82</v>
      </c>
      <c r="F119" s="327">
        <v>7332.25</v>
      </c>
      <c r="G119" s="124">
        <v>233.1584</v>
      </c>
      <c r="H119" s="124">
        <f>'MEMORIA DE CALCULO'!H432</f>
        <v>230.32199999999995</v>
      </c>
      <c r="I119" s="121">
        <f t="shared" ref="I119:I128" si="65">G119+H119</f>
        <v>463.48039999999992</v>
      </c>
      <c r="J119" s="124">
        <f t="shared" ref="J119:J128" si="66">TRUNC(E119*G119,2)</f>
        <v>3688.56</v>
      </c>
      <c r="K119" s="124">
        <f>H119*E119</f>
        <v>3643.6940399999994</v>
      </c>
      <c r="L119" s="121">
        <f t="shared" ref="L119:L128" si="67">J119+K119</f>
        <v>7332.2540399999998</v>
      </c>
      <c r="M119" s="129">
        <f t="shared" ref="M119:M128" si="68">L119/F119</f>
        <v>1.0000005509904872</v>
      </c>
      <c r="N119" s="359">
        <f t="shared" ref="N119" si="69">D119-I119</f>
        <v>-3.9999999989959178E-4</v>
      </c>
    </row>
    <row r="120" spans="1:14" s="141" customFormat="1" ht="24.75" customHeight="1" x14ac:dyDescent="0.25">
      <c r="A120" s="148">
        <v>9</v>
      </c>
      <c r="B120" s="319" t="s">
        <v>194</v>
      </c>
      <c r="C120" s="149"/>
      <c r="D120" s="345"/>
      <c r="E120" s="345"/>
      <c r="F120" s="346">
        <f>SUM(F121:F128)</f>
        <v>154110.93</v>
      </c>
      <c r="G120" s="150">
        <v>0</v>
      </c>
      <c r="H120" s="150">
        <v>0</v>
      </c>
      <c r="I120" s="150">
        <f t="shared" si="65"/>
        <v>0</v>
      </c>
      <c r="J120" s="146">
        <f>SUM(J121:J128)</f>
        <v>0</v>
      </c>
      <c r="K120" s="146">
        <f>SUM(K121:K128)</f>
        <v>1871.33</v>
      </c>
      <c r="L120" s="146">
        <f t="shared" si="67"/>
        <v>1871.33</v>
      </c>
      <c r="M120" s="314">
        <f>L120/F120</f>
        <v>1.2142746786357074E-2</v>
      </c>
    </row>
    <row r="121" spans="1:14" s="141" customFormat="1" ht="39.6" x14ac:dyDescent="0.25">
      <c r="A121" s="130" t="s">
        <v>698</v>
      </c>
      <c r="B121" s="309" t="s">
        <v>196</v>
      </c>
      <c r="C121" s="310" t="s">
        <v>24</v>
      </c>
      <c r="D121" s="324">
        <v>1969.41</v>
      </c>
      <c r="E121" s="324">
        <v>3.98</v>
      </c>
      <c r="F121" s="324">
        <v>7838.25</v>
      </c>
      <c r="G121" s="124">
        <v>0</v>
      </c>
      <c r="H121" s="124">
        <f>'MEMORIA DE CALCULO'!H454</f>
        <v>470.18399999999997</v>
      </c>
      <c r="I121" s="121">
        <f t="shared" si="65"/>
        <v>470.18399999999997</v>
      </c>
      <c r="J121" s="124">
        <f t="shared" si="66"/>
        <v>0</v>
      </c>
      <c r="K121" s="124">
        <f t="shared" ref="K121:K128" si="70">TRUNC(E121*H121,2)</f>
        <v>1871.33</v>
      </c>
      <c r="L121" s="121">
        <f t="shared" si="67"/>
        <v>1871.33</v>
      </c>
      <c r="M121" s="129">
        <f t="shared" si="68"/>
        <v>0.23874334194494945</v>
      </c>
      <c r="N121" s="179">
        <f t="shared" ref="N121:N128" si="71">D121-I121</f>
        <v>1499.2260000000001</v>
      </c>
    </row>
    <row r="122" spans="1:14" s="141" customFormat="1" ht="52.8" x14ac:dyDescent="0.25">
      <c r="A122" s="130" t="s">
        <v>699</v>
      </c>
      <c r="B122" s="309" t="s">
        <v>198</v>
      </c>
      <c r="C122" s="310" t="s">
        <v>24</v>
      </c>
      <c r="D122" s="324">
        <v>579.57000000000005</v>
      </c>
      <c r="E122" s="324">
        <v>6.53</v>
      </c>
      <c r="F122" s="324">
        <v>3784.59</v>
      </c>
      <c r="G122" s="124">
        <v>0</v>
      </c>
      <c r="H122" s="124">
        <v>0</v>
      </c>
      <c r="I122" s="121">
        <f t="shared" si="65"/>
        <v>0</v>
      </c>
      <c r="J122" s="124">
        <f t="shared" si="66"/>
        <v>0</v>
      </c>
      <c r="K122" s="124">
        <f t="shared" si="70"/>
        <v>0</v>
      </c>
      <c r="L122" s="121">
        <f t="shared" si="67"/>
        <v>0</v>
      </c>
      <c r="M122" s="129">
        <f t="shared" si="68"/>
        <v>0</v>
      </c>
      <c r="N122" s="179">
        <f t="shared" si="71"/>
        <v>579.57000000000005</v>
      </c>
    </row>
    <row r="123" spans="1:14" s="141" customFormat="1" ht="79.2" x14ac:dyDescent="0.25">
      <c r="A123" s="130" t="s">
        <v>700</v>
      </c>
      <c r="B123" s="309" t="s">
        <v>200</v>
      </c>
      <c r="C123" s="310" t="s">
        <v>24</v>
      </c>
      <c r="D123" s="324">
        <v>1969.41</v>
      </c>
      <c r="E123" s="324">
        <v>25.82</v>
      </c>
      <c r="F123" s="324">
        <v>50850.16</v>
      </c>
      <c r="G123" s="124">
        <v>0</v>
      </c>
      <c r="H123" s="124">
        <v>0</v>
      </c>
      <c r="I123" s="121">
        <f t="shared" si="65"/>
        <v>0</v>
      </c>
      <c r="J123" s="124">
        <f t="shared" si="66"/>
        <v>0</v>
      </c>
      <c r="K123" s="124">
        <f t="shared" si="70"/>
        <v>0</v>
      </c>
      <c r="L123" s="121">
        <f t="shared" si="67"/>
        <v>0</v>
      </c>
      <c r="M123" s="129">
        <f t="shared" si="68"/>
        <v>0</v>
      </c>
      <c r="N123" s="179">
        <f t="shared" si="71"/>
        <v>1969.41</v>
      </c>
    </row>
    <row r="124" spans="1:14" s="141" customFormat="1" ht="79.2" x14ac:dyDescent="0.25">
      <c r="A124" s="130" t="s">
        <v>701</v>
      </c>
      <c r="B124" s="309" t="s">
        <v>202</v>
      </c>
      <c r="C124" s="310" t="s">
        <v>24</v>
      </c>
      <c r="D124" s="324">
        <v>1307.77</v>
      </c>
      <c r="E124" s="324">
        <v>22.05</v>
      </c>
      <c r="F124" s="324">
        <v>28836.32</v>
      </c>
      <c r="G124" s="124">
        <v>0</v>
      </c>
      <c r="H124" s="124">
        <v>0</v>
      </c>
      <c r="I124" s="121">
        <f t="shared" si="65"/>
        <v>0</v>
      </c>
      <c r="J124" s="124">
        <f t="shared" si="66"/>
        <v>0</v>
      </c>
      <c r="K124" s="124">
        <f t="shared" si="70"/>
        <v>0</v>
      </c>
      <c r="L124" s="121">
        <f t="shared" si="67"/>
        <v>0</v>
      </c>
      <c r="M124" s="129">
        <f t="shared" si="68"/>
        <v>0</v>
      </c>
      <c r="N124" s="179">
        <f t="shared" si="71"/>
        <v>1307.77</v>
      </c>
    </row>
    <row r="125" spans="1:14" s="141" customFormat="1" ht="79.2" x14ac:dyDescent="0.25">
      <c r="A125" s="130" t="s">
        <v>702</v>
      </c>
      <c r="B125" s="309" t="s">
        <v>202</v>
      </c>
      <c r="C125" s="310" t="s">
        <v>24</v>
      </c>
      <c r="D125" s="324">
        <v>579.57000000000005</v>
      </c>
      <c r="E125" s="324">
        <v>22.05</v>
      </c>
      <c r="F125" s="324">
        <v>12779.51</v>
      </c>
      <c r="G125" s="124">
        <v>0</v>
      </c>
      <c r="H125" s="124">
        <v>0</v>
      </c>
      <c r="I125" s="121">
        <f t="shared" si="65"/>
        <v>0</v>
      </c>
      <c r="J125" s="124">
        <f t="shared" si="66"/>
        <v>0</v>
      </c>
      <c r="K125" s="124">
        <f t="shared" si="70"/>
        <v>0</v>
      </c>
      <c r="L125" s="121">
        <f t="shared" si="67"/>
        <v>0</v>
      </c>
      <c r="M125" s="129">
        <f t="shared" si="68"/>
        <v>0</v>
      </c>
      <c r="N125" s="179">
        <f t="shared" si="71"/>
        <v>579.57000000000005</v>
      </c>
    </row>
    <row r="126" spans="1:14" s="141" customFormat="1" ht="52.8" x14ac:dyDescent="0.25">
      <c r="A126" s="130" t="s">
        <v>703</v>
      </c>
      <c r="B126" s="309" t="s">
        <v>204</v>
      </c>
      <c r="C126" s="310" t="s">
        <v>24</v>
      </c>
      <c r="D126" s="324">
        <v>439.53</v>
      </c>
      <c r="E126" s="324">
        <v>64.239999999999995</v>
      </c>
      <c r="F126" s="324">
        <v>28235.4</v>
      </c>
      <c r="G126" s="124">
        <v>0</v>
      </c>
      <c r="H126" s="124">
        <v>0</v>
      </c>
      <c r="I126" s="121">
        <f t="shared" si="65"/>
        <v>0</v>
      </c>
      <c r="J126" s="124">
        <f t="shared" si="66"/>
        <v>0</v>
      </c>
      <c r="K126" s="124">
        <f t="shared" si="70"/>
        <v>0</v>
      </c>
      <c r="L126" s="121">
        <f t="shared" si="67"/>
        <v>0</v>
      </c>
      <c r="M126" s="129">
        <f t="shared" si="68"/>
        <v>0</v>
      </c>
      <c r="N126" s="179">
        <f t="shared" si="71"/>
        <v>439.53</v>
      </c>
    </row>
    <row r="127" spans="1:14" s="141" customFormat="1" ht="39.6" x14ac:dyDescent="0.25">
      <c r="A127" s="130" t="s">
        <v>704</v>
      </c>
      <c r="B127" s="309" t="s">
        <v>206</v>
      </c>
      <c r="C127" s="310" t="s">
        <v>24</v>
      </c>
      <c r="D127" s="324">
        <v>222.12</v>
      </c>
      <c r="E127" s="324">
        <v>62.59</v>
      </c>
      <c r="F127" s="324">
        <v>13902.49</v>
      </c>
      <c r="G127" s="124">
        <v>0</v>
      </c>
      <c r="H127" s="124">
        <v>0</v>
      </c>
      <c r="I127" s="121">
        <f t="shared" si="65"/>
        <v>0</v>
      </c>
      <c r="J127" s="124">
        <f t="shared" si="66"/>
        <v>0</v>
      </c>
      <c r="K127" s="124">
        <f t="shared" si="70"/>
        <v>0</v>
      </c>
      <c r="L127" s="121">
        <f t="shared" si="67"/>
        <v>0</v>
      </c>
      <c r="M127" s="129">
        <f t="shared" si="68"/>
        <v>0</v>
      </c>
      <c r="N127" s="179">
        <f t="shared" si="71"/>
        <v>222.12</v>
      </c>
    </row>
    <row r="128" spans="1:14" s="141" customFormat="1" ht="26.4" x14ac:dyDescent="0.25">
      <c r="A128" s="130" t="s">
        <v>705</v>
      </c>
      <c r="B128" s="309" t="s">
        <v>208</v>
      </c>
      <c r="C128" s="310" t="s">
        <v>116</v>
      </c>
      <c r="D128" s="324">
        <v>257.14999999999998</v>
      </c>
      <c r="E128" s="324">
        <v>30.66</v>
      </c>
      <c r="F128" s="324">
        <v>7884.21</v>
      </c>
      <c r="G128" s="124">
        <v>0</v>
      </c>
      <c r="H128" s="124">
        <v>0</v>
      </c>
      <c r="I128" s="121">
        <f t="shared" si="65"/>
        <v>0</v>
      </c>
      <c r="J128" s="124">
        <f t="shared" si="66"/>
        <v>0</v>
      </c>
      <c r="K128" s="124">
        <f t="shared" si="70"/>
        <v>0</v>
      </c>
      <c r="L128" s="121">
        <f t="shared" si="67"/>
        <v>0</v>
      </c>
      <c r="M128" s="129">
        <f t="shared" si="68"/>
        <v>0</v>
      </c>
      <c r="N128" s="179">
        <f t="shared" si="71"/>
        <v>257.14999999999998</v>
      </c>
    </row>
    <row r="129" spans="1:14" ht="27.75" customHeight="1" x14ac:dyDescent="0.25">
      <c r="A129" s="131">
        <v>10</v>
      </c>
      <c r="B129" s="313" t="s">
        <v>210</v>
      </c>
      <c r="C129" s="132"/>
      <c r="D129" s="343"/>
      <c r="E129" s="343"/>
      <c r="F129" s="344">
        <f>F130+F138</f>
        <v>127667.35</v>
      </c>
      <c r="G129" s="128"/>
      <c r="H129" s="128"/>
      <c r="I129" s="128"/>
      <c r="J129" s="117"/>
      <c r="K129" s="117"/>
      <c r="L129" s="117"/>
      <c r="M129" s="314">
        <f>L129/F129</f>
        <v>0</v>
      </c>
    </row>
    <row r="130" spans="1:14" s="141" customFormat="1" ht="30" customHeight="1" x14ac:dyDescent="0.25">
      <c r="A130" s="151" t="s">
        <v>933</v>
      </c>
      <c r="B130" s="317" t="s">
        <v>212</v>
      </c>
      <c r="C130" s="142"/>
      <c r="D130" s="347"/>
      <c r="E130" s="347"/>
      <c r="F130" s="348">
        <f>SUM(F131:F137)</f>
        <v>102170.13</v>
      </c>
      <c r="G130" s="137">
        <v>0</v>
      </c>
      <c r="H130" s="137">
        <v>0</v>
      </c>
      <c r="I130" s="137">
        <f t="shared" ref="I130:I137" si="72">G130+H130</f>
        <v>0</v>
      </c>
      <c r="J130" s="137">
        <f>SUM(J131:J137)</f>
        <v>0</v>
      </c>
      <c r="K130" s="137">
        <f>SUM(K131:K137)</f>
        <v>0</v>
      </c>
      <c r="L130" s="137">
        <f t="shared" ref="L130:L137" si="73">J130+K130</f>
        <v>0</v>
      </c>
      <c r="M130" s="139">
        <f t="shared" ref="M130:M137" si="74">L130/F130</f>
        <v>0</v>
      </c>
    </row>
    <row r="131" spans="1:14" s="141" customFormat="1" ht="52.8" x14ac:dyDescent="0.25">
      <c r="A131" s="130" t="s">
        <v>706</v>
      </c>
      <c r="B131" s="309" t="s">
        <v>214</v>
      </c>
      <c r="C131" s="310" t="s">
        <v>24</v>
      </c>
      <c r="D131" s="324">
        <v>814.48</v>
      </c>
      <c r="E131" s="324">
        <v>33.4</v>
      </c>
      <c r="F131" s="324">
        <v>27203.63</v>
      </c>
      <c r="G131" s="124">
        <v>0</v>
      </c>
      <c r="H131" s="124">
        <v>0</v>
      </c>
      <c r="I131" s="121">
        <f t="shared" si="72"/>
        <v>0</v>
      </c>
      <c r="J131" s="124">
        <f t="shared" ref="J131:J137" si="75">TRUNC(E131*G131,2)</f>
        <v>0</v>
      </c>
      <c r="K131" s="124">
        <f t="shared" ref="K131:K137" si="76">TRUNC(E131*H131,2)</f>
        <v>0</v>
      </c>
      <c r="L131" s="121">
        <f t="shared" si="73"/>
        <v>0</v>
      </c>
      <c r="M131" s="129">
        <f t="shared" si="74"/>
        <v>0</v>
      </c>
      <c r="N131" s="179">
        <f t="shared" ref="N131:N137" si="77">D131-I131</f>
        <v>814.48</v>
      </c>
    </row>
    <row r="132" spans="1:14" s="141" customFormat="1" ht="39.6" x14ac:dyDescent="0.25">
      <c r="A132" s="130" t="s">
        <v>707</v>
      </c>
      <c r="B132" s="309" t="s">
        <v>216</v>
      </c>
      <c r="C132" s="310" t="s">
        <v>24</v>
      </c>
      <c r="D132" s="324">
        <v>814.48</v>
      </c>
      <c r="E132" s="324">
        <v>30.58</v>
      </c>
      <c r="F132" s="324">
        <v>24906.79</v>
      </c>
      <c r="G132" s="124">
        <v>0</v>
      </c>
      <c r="H132" s="124">
        <v>0</v>
      </c>
      <c r="I132" s="121">
        <f t="shared" si="72"/>
        <v>0</v>
      </c>
      <c r="J132" s="124">
        <f t="shared" si="75"/>
        <v>0</v>
      </c>
      <c r="K132" s="124">
        <f t="shared" si="76"/>
        <v>0</v>
      </c>
      <c r="L132" s="121">
        <f t="shared" si="73"/>
        <v>0</v>
      </c>
      <c r="M132" s="129">
        <f t="shared" si="74"/>
        <v>0</v>
      </c>
      <c r="N132" s="179">
        <f t="shared" si="77"/>
        <v>814.48</v>
      </c>
    </row>
    <row r="133" spans="1:14" s="141" customFormat="1" ht="39.6" x14ac:dyDescent="0.25">
      <c r="A133" s="130" t="s">
        <v>708</v>
      </c>
      <c r="B133" s="309" t="s">
        <v>218</v>
      </c>
      <c r="C133" s="310" t="s">
        <v>24</v>
      </c>
      <c r="D133" s="324">
        <v>65.28</v>
      </c>
      <c r="E133" s="324">
        <v>50.5</v>
      </c>
      <c r="F133" s="324">
        <v>3296.64</v>
      </c>
      <c r="G133" s="124">
        <v>0</v>
      </c>
      <c r="H133" s="124">
        <v>0</v>
      </c>
      <c r="I133" s="121">
        <f t="shared" si="72"/>
        <v>0</v>
      </c>
      <c r="J133" s="124">
        <f t="shared" si="75"/>
        <v>0</v>
      </c>
      <c r="K133" s="124">
        <f t="shared" si="76"/>
        <v>0</v>
      </c>
      <c r="L133" s="121">
        <f t="shared" si="73"/>
        <v>0</v>
      </c>
      <c r="M133" s="129">
        <f t="shared" si="74"/>
        <v>0</v>
      </c>
      <c r="N133" s="179">
        <f t="shared" si="77"/>
        <v>65.28</v>
      </c>
    </row>
    <row r="134" spans="1:14" s="141" customFormat="1" ht="39.6" x14ac:dyDescent="0.25">
      <c r="A134" s="130" t="s">
        <v>709</v>
      </c>
      <c r="B134" s="309" t="s">
        <v>218</v>
      </c>
      <c r="C134" s="310" t="s">
        <v>24</v>
      </c>
      <c r="D134" s="324">
        <v>749.2</v>
      </c>
      <c r="E134" s="324">
        <v>50.5</v>
      </c>
      <c r="F134" s="324">
        <v>37834.6</v>
      </c>
      <c r="G134" s="124">
        <v>0</v>
      </c>
      <c r="H134" s="124">
        <v>0</v>
      </c>
      <c r="I134" s="121">
        <f t="shared" si="72"/>
        <v>0</v>
      </c>
      <c r="J134" s="124">
        <f t="shared" si="75"/>
        <v>0</v>
      </c>
      <c r="K134" s="124">
        <f t="shared" si="76"/>
        <v>0</v>
      </c>
      <c r="L134" s="121">
        <f t="shared" si="73"/>
        <v>0</v>
      </c>
      <c r="M134" s="129">
        <f t="shared" si="74"/>
        <v>0</v>
      </c>
      <c r="N134" s="179">
        <f t="shared" si="77"/>
        <v>749.2</v>
      </c>
    </row>
    <row r="135" spans="1:14" s="141" customFormat="1" ht="39.6" x14ac:dyDescent="0.25">
      <c r="A135" s="130" t="s">
        <v>710</v>
      </c>
      <c r="B135" s="309" t="s">
        <v>220</v>
      </c>
      <c r="C135" s="310" t="s">
        <v>24</v>
      </c>
      <c r="D135" s="324">
        <v>40.950000000000003</v>
      </c>
      <c r="E135" s="324">
        <v>169.18</v>
      </c>
      <c r="F135" s="324">
        <v>6927.92</v>
      </c>
      <c r="G135" s="124">
        <v>0</v>
      </c>
      <c r="H135" s="124">
        <v>0</v>
      </c>
      <c r="I135" s="121">
        <f t="shared" si="72"/>
        <v>0</v>
      </c>
      <c r="J135" s="124">
        <f t="shared" si="75"/>
        <v>0</v>
      </c>
      <c r="K135" s="124">
        <f t="shared" si="76"/>
        <v>0</v>
      </c>
      <c r="L135" s="121">
        <f t="shared" si="73"/>
        <v>0</v>
      </c>
      <c r="M135" s="129">
        <f t="shared" si="74"/>
        <v>0</v>
      </c>
      <c r="N135" s="179">
        <f t="shared" si="77"/>
        <v>40.950000000000003</v>
      </c>
    </row>
    <row r="136" spans="1:14" s="141" customFormat="1" ht="26.4" x14ac:dyDescent="0.25">
      <c r="A136" s="130" t="s">
        <v>711</v>
      </c>
      <c r="B136" s="309" t="s">
        <v>222</v>
      </c>
      <c r="C136" s="310" t="s">
        <v>24</v>
      </c>
      <c r="D136" s="324">
        <v>5.4</v>
      </c>
      <c r="E136" s="324">
        <v>116.99</v>
      </c>
      <c r="F136" s="324">
        <v>631.74</v>
      </c>
      <c r="G136" s="124">
        <v>0</v>
      </c>
      <c r="H136" s="124">
        <v>0</v>
      </c>
      <c r="I136" s="121">
        <f t="shared" si="72"/>
        <v>0</v>
      </c>
      <c r="J136" s="124">
        <f t="shared" si="75"/>
        <v>0</v>
      </c>
      <c r="K136" s="124">
        <f t="shared" si="76"/>
        <v>0</v>
      </c>
      <c r="L136" s="121">
        <f t="shared" si="73"/>
        <v>0</v>
      </c>
      <c r="M136" s="129">
        <f t="shared" si="74"/>
        <v>0</v>
      </c>
      <c r="N136" s="179">
        <f t="shared" si="77"/>
        <v>5.4</v>
      </c>
    </row>
    <row r="137" spans="1:14" s="141" customFormat="1" x14ac:dyDescent="0.25">
      <c r="A137" s="130" t="s">
        <v>712</v>
      </c>
      <c r="B137" s="309" t="s">
        <v>224</v>
      </c>
      <c r="C137" s="310" t="s">
        <v>116</v>
      </c>
      <c r="D137" s="324">
        <v>18.5</v>
      </c>
      <c r="E137" s="324">
        <v>73.989999999999995</v>
      </c>
      <c r="F137" s="324">
        <v>1368.81</v>
      </c>
      <c r="G137" s="124">
        <v>0</v>
      </c>
      <c r="H137" s="124">
        <v>0</v>
      </c>
      <c r="I137" s="121">
        <f t="shared" si="72"/>
        <v>0</v>
      </c>
      <c r="J137" s="124">
        <f t="shared" si="75"/>
        <v>0</v>
      </c>
      <c r="K137" s="124">
        <f t="shared" si="76"/>
        <v>0</v>
      </c>
      <c r="L137" s="121">
        <f t="shared" si="73"/>
        <v>0</v>
      </c>
      <c r="M137" s="129">
        <f t="shared" si="74"/>
        <v>0</v>
      </c>
      <c r="N137" s="179">
        <f t="shared" si="77"/>
        <v>18.5</v>
      </c>
    </row>
    <row r="138" spans="1:14" ht="35.25" customHeight="1" x14ac:dyDescent="0.25">
      <c r="A138" s="133" t="s">
        <v>934</v>
      </c>
      <c r="B138" s="317" t="s">
        <v>226</v>
      </c>
      <c r="C138" s="134"/>
      <c r="D138" s="335"/>
      <c r="E138" s="335"/>
      <c r="F138" s="342">
        <f>SUM(F139:F142)</f>
        <v>25497.220000000005</v>
      </c>
      <c r="G138" s="136"/>
      <c r="H138" s="136"/>
      <c r="I138" s="136"/>
      <c r="J138" s="137">
        <f>SUM(J139:J142)</f>
        <v>0</v>
      </c>
      <c r="K138" s="137">
        <f>SUM(K139:K142)</f>
        <v>0</v>
      </c>
      <c r="L138" s="138"/>
      <c r="M138" s="139">
        <f>L138/F138</f>
        <v>0</v>
      </c>
    </row>
    <row r="139" spans="1:14" s="141" customFormat="1" ht="39.6" x14ac:dyDescent="0.25">
      <c r="A139" s="130" t="s">
        <v>713</v>
      </c>
      <c r="B139" s="309" t="s">
        <v>228</v>
      </c>
      <c r="C139" s="310" t="s">
        <v>50</v>
      </c>
      <c r="D139" s="324">
        <v>25.08</v>
      </c>
      <c r="E139" s="324">
        <v>656.85</v>
      </c>
      <c r="F139" s="324">
        <v>16473.79</v>
      </c>
      <c r="G139" s="124">
        <v>0</v>
      </c>
      <c r="H139" s="124">
        <v>0</v>
      </c>
      <c r="I139" s="121">
        <f>G139+H139</f>
        <v>0</v>
      </c>
      <c r="J139" s="124">
        <f>TRUNC(E139*G139,2)</f>
        <v>0</v>
      </c>
      <c r="K139" s="124">
        <f>TRUNC(E139*H139,2)</f>
        <v>0</v>
      </c>
      <c r="L139" s="121">
        <f>J139+K139</f>
        <v>0</v>
      </c>
      <c r="M139" s="129">
        <f t="shared" ref="M139:M142" si="78">L139/F139</f>
        <v>0</v>
      </c>
      <c r="N139" s="179">
        <f t="shared" ref="N139:N142" si="79">D139-I139</f>
        <v>25.08</v>
      </c>
    </row>
    <row r="140" spans="1:14" s="141" customFormat="1" ht="39.6" x14ac:dyDescent="0.25">
      <c r="A140" s="130" t="s">
        <v>714</v>
      </c>
      <c r="B140" s="309" t="s">
        <v>230</v>
      </c>
      <c r="C140" s="310" t="s">
        <v>50</v>
      </c>
      <c r="D140" s="324">
        <v>11.98</v>
      </c>
      <c r="E140" s="324">
        <v>373.01</v>
      </c>
      <c r="F140" s="324">
        <v>4468.6499999999996</v>
      </c>
      <c r="G140" s="124">
        <v>0</v>
      </c>
      <c r="H140" s="124">
        <v>0</v>
      </c>
      <c r="I140" s="121">
        <f>G140+H140</f>
        <v>0</v>
      </c>
      <c r="J140" s="124">
        <f>TRUNC(E140*G140,2)</f>
        <v>0</v>
      </c>
      <c r="K140" s="124">
        <f>TRUNC(E140*H140,2)</f>
        <v>0</v>
      </c>
      <c r="L140" s="121">
        <f>J140+K140</f>
        <v>0</v>
      </c>
      <c r="M140" s="129">
        <f t="shared" si="78"/>
        <v>0</v>
      </c>
      <c r="N140" s="179">
        <f t="shared" si="79"/>
        <v>11.98</v>
      </c>
    </row>
    <row r="141" spans="1:14" s="141" customFormat="1" ht="39.6" x14ac:dyDescent="0.25">
      <c r="A141" s="130" t="s">
        <v>715</v>
      </c>
      <c r="B141" s="309" t="s">
        <v>232</v>
      </c>
      <c r="C141" s="310" t="s">
        <v>116</v>
      </c>
      <c r="D141" s="324">
        <v>27.3</v>
      </c>
      <c r="E141" s="324">
        <v>28.04</v>
      </c>
      <c r="F141" s="324">
        <v>765.49</v>
      </c>
      <c r="G141" s="124">
        <v>0</v>
      </c>
      <c r="H141" s="124">
        <v>0</v>
      </c>
      <c r="I141" s="121">
        <f>G141+H141</f>
        <v>0</v>
      </c>
      <c r="J141" s="124">
        <f>TRUNC(E141*G141,2)</f>
        <v>0</v>
      </c>
      <c r="K141" s="124">
        <f>TRUNC(E141*H141,2)</f>
        <v>0</v>
      </c>
      <c r="L141" s="121">
        <f>J141+K141</f>
        <v>0</v>
      </c>
      <c r="M141" s="129">
        <f t="shared" si="78"/>
        <v>0</v>
      </c>
      <c r="N141" s="215">
        <f>D141-I141</f>
        <v>27.3</v>
      </c>
    </row>
    <row r="142" spans="1:14" s="141" customFormat="1" ht="39.6" x14ac:dyDescent="0.25">
      <c r="A142" s="130" t="s">
        <v>716</v>
      </c>
      <c r="B142" s="309" t="s">
        <v>234</v>
      </c>
      <c r="C142" s="310" t="s">
        <v>50</v>
      </c>
      <c r="D142" s="324">
        <v>11.28</v>
      </c>
      <c r="E142" s="324">
        <v>335.93</v>
      </c>
      <c r="F142" s="324">
        <v>3789.29</v>
      </c>
      <c r="G142" s="124">
        <v>0</v>
      </c>
      <c r="H142" s="124">
        <v>0</v>
      </c>
      <c r="I142" s="121">
        <f>G142+H142</f>
        <v>0</v>
      </c>
      <c r="J142" s="124">
        <f>TRUNC(E142*G142,2)</f>
        <v>0</v>
      </c>
      <c r="K142" s="124">
        <f>TRUNC(E142*H142,2)</f>
        <v>0</v>
      </c>
      <c r="L142" s="121">
        <f>J142+K142</f>
        <v>0</v>
      </c>
      <c r="M142" s="129">
        <f t="shared" si="78"/>
        <v>0</v>
      </c>
      <c r="N142" s="179">
        <f t="shared" si="79"/>
        <v>11.28</v>
      </c>
    </row>
    <row r="143" spans="1:14" ht="33" customHeight="1" x14ac:dyDescent="0.25">
      <c r="A143" s="131">
        <v>11</v>
      </c>
      <c r="B143" s="313" t="s">
        <v>236</v>
      </c>
      <c r="C143" s="132"/>
      <c r="D143" s="333"/>
      <c r="E143" s="333"/>
      <c r="F143" s="334">
        <f>SUM(F144:F150)</f>
        <v>45376.000000000007</v>
      </c>
      <c r="G143" s="128"/>
      <c r="H143" s="128"/>
      <c r="I143" s="128"/>
      <c r="J143" s="117">
        <f>SUM(J144:J150)</f>
        <v>0</v>
      </c>
      <c r="K143" s="117">
        <f>SUM(K144:K150)</f>
        <v>0</v>
      </c>
      <c r="L143" s="117"/>
      <c r="M143" s="314">
        <f>L143/F143</f>
        <v>0</v>
      </c>
    </row>
    <row r="144" spans="1:14" s="141" customFormat="1" ht="26.4" x14ac:dyDescent="0.25">
      <c r="A144" s="130" t="s">
        <v>717</v>
      </c>
      <c r="B144" s="309" t="s">
        <v>238</v>
      </c>
      <c r="C144" s="310" t="s">
        <v>116</v>
      </c>
      <c r="D144" s="324">
        <v>432.55</v>
      </c>
      <c r="E144" s="324">
        <v>26.45</v>
      </c>
      <c r="F144" s="324">
        <v>11440.94</v>
      </c>
      <c r="G144" s="124">
        <v>0</v>
      </c>
      <c r="H144" s="124">
        <v>0</v>
      </c>
      <c r="I144" s="121">
        <f t="shared" ref="I144:I148" si="80">G144+H144</f>
        <v>0</v>
      </c>
      <c r="J144" s="124">
        <f t="shared" ref="J144:J148" si="81">TRUNC(E144*G144,2)</f>
        <v>0</v>
      </c>
      <c r="K144" s="124">
        <f t="shared" ref="K144:K148" si="82">TRUNC(E144*H144,2)</f>
        <v>0</v>
      </c>
      <c r="L144" s="121">
        <f t="shared" ref="L144:L148" si="83">J144+K144</f>
        <v>0</v>
      </c>
      <c r="M144" s="129">
        <f t="shared" ref="M144:M148" si="84">L144/F144</f>
        <v>0</v>
      </c>
      <c r="N144" s="179">
        <f t="shared" ref="N144:N150" si="85">D144-I144</f>
        <v>432.55</v>
      </c>
    </row>
    <row r="145" spans="1:14" s="141" customFormat="1" ht="26.4" x14ac:dyDescent="0.25">
      <c r="A145" s="130" t="s">
        <v>718</v>
      </c>
      <c r="B145" s="309" t="s">
        <v>238</v>
      </c>
      <c r="C145" s="310" t="s">
        <v>116</v>
      </c>
      <c r="D145" s="324">
        <v>579.57000000000005</v>
      </c>
      <c r="E145" s="324">
        <v>26.45</v>
      </c>
      <c r="F145" s="324">
        <v>15329.62</v>
      </c>
      <c r="G145" s="124">
        <v>0</v>
      </c>
      <c r="H145" s="124">
        <v>0</v>
      </c>
      <c r="I145" s="121">
        <f t="shared" si="80"/>
        <v>0</v>
      </c>
      <c r="J145" s="124">
        <f t="shared" si="81"/>
        <v>0</v>
      </c>
      <c r="K145" s="124">
        <f t="shared" si="82"/>
        <v>0</v>
      </c>
      <c r="L145" s="121">
        <f t="shared" si="83"/>
        <v>0</v>
      </c>
      <c r="M145" s="129">
        <f t="shared" si="84"/>
        <v>0</v>
      </c>
      <c r="N145" s="179">
        <f t="shared" si="85"/>
        <v>579.57000000000005</v>
      </c>
    </row>
    <row r="146" spans="1:14" s="141" customFormat="1" ht="26.4" x14ac:dyDescent="0.25">
      <c r="A146" s="130" t="s">
        <v>719</v>
      </c>
      <c r="B146" s="309" t="s">
        <v>240</v>
      </c>
      <c r="C146" s="310" t="s">
        <v>24</v>
      </c>
      <c r="D146" s="324">
        <v>1307.77</v>
      </c>
      <c r="E146" s="324">
        <v>8.49</v>
      </c>
      <c r="F146" s="324">
        <v>11102.96</v>
      </c>
      <c r="G146" s="124">
        <v>0</v>
      </c>
      <c r="H146" s="124">
        <v>0</v>
      </c>
      <c r="I146" s="121">
        <f t="shared" si="80"/>
        <v>0</v>
      </c>
      <c r="J146" s="124">
        <f t="shared" si="81"/>
        <v>0</v>
      </c>
      <c r="K146" s="124">
        <f t="shared" si="82"/>
        <v>0</v>
      </c>
      <c r="L146" s="121">
        <f t="shared" si="83"/>
        <v>0</v>
      </c>
      <c r="M146" s="129">
        <f t="shared" si="84"/>
        <v>0</v>
      </c>
      <c r="N146" s="179">
        <f t="shared" si="85"/>
        <v>1307.77</v>
      </c>
    </row>
    <row r="147" spans="1:14" s="141" customFormat="1" ht="26.4" x14ac:dyDescent="0.25">
      <c r="A147" s="130" t="s">
        <v>720</v>
      </c>
      <c r="B147" s="309" t="s">
        <v>242</v>
      </c>
      <c r="C147" s="310" t="s">
        <v>24</v>
      </c>
      <c r="D147" s="324">
        <v>569.57000000000005</v>
      </c>
      <c r="E147" s="324">
        <v>10.37</v>
      </c>
      <c r="F147" s="324">
        <v>5906.44</v>
      </c>
      <c r="G147" s="124">
        <v>0</v>
      </c>
      <c r="H147" s="124">
        <v>0</v>
      </c>
      <c r="I147" s="121">
        <f t="shared" si="80"/>
        <v>0</v>
      </c>
      <c r="J147" s="124">
        <f t="shared" si="81"/>
        <v>0</v>
      </c>
      <c r="K147" s="124">
        <f t="shared" si="82"/>
        <v>0</v>
      </c>
      <c r="L147" s="121">
        <f t="shared" si="83"/>
        <v>0</v>
      </c>
      <c r="M147" s="129">
        <f t="shared" si="84"/>
        <v>0</v>
      </c>
      <c r="N147" s="179">
        <f t="shared" si="85"/>
        <v>569.57000000000005</v>
      </c>
    </row>
    <row r="148" spans="1:14" s="141" customFormat="1" ht="26.4" x14ac:dyDescent="0.25">
      <c r="A148" s="130" t="s">
        <v>721</v>
      </c>
      <c r="B148" s="309" t="s">
        <v>244</v>
      </c>
      <c r="C148" s="310" t="s">
        <v>24</v>
      </c>
      <c r="D148" s="324">
        <v>25.72</v>
      </c>
      <c r="E148" s="324">
        <v>13.23</v>
      </c>
      <c r="F148" s="324">
        <v>340.27</v>
      </c>
      <c r="G148" s="124">
        <v>0</v>
      </c>
      <c r="H148" s="124">
        <v>0</v>
      </c>
      <c r="I148" s="121">
        <f t="shared" si="80"/>
        <v>0</v>
      </c>
      <c r="J148" s="124">
        <f t="shared" si="81"/>
        <v>0</v>
      </c>
      <c r="K148" s="124">
        <f t="shared" si="82"/>
        <v>0</v>
      </c>
      <c r="L148" s="121">
        <f t="shared" si="83"/>
        <v>0</v>
      </c>
      <c r="M148" s="129">
        <f t="shared" si="84"/>
        <v>0</v>
      </c>
      <c r="N148" s="179">
        <f t="shared" si="85"/>
        <v>25.72</v>
      </c>
    </row>
    <row r="149" spans="1:14" s="141" customFormat="1" ht="52.8" x14ac:dyDescent="0.25">
      <c r="A149" s="130" t="s">
        <v>722</v>
      </c>
      <c r="B149" s="309" t="s">
        <v>246</v>
      </c>
      <c r="C149" s="310" t="s">
        <v>24</v>
      </c>
      <c r="D149" s="324">
        <v>21.6</v>
      </c>
      <c r="E149" s="324">
        <v>19.82</v>
      </c>
      <c r="F149" s="324">
        <v>428.11</v>
      </c>
      <c r="G149" s="124">
        <v>0</v>
      </c>
      <c r="H149" s="124">
        <v>0</v>
      </c>
      <c r="I149" s="121">
        <f>G149+H149</f>
        <v>0</v>
      </c>
      <c r="J149" s="124">
        <f>TRUNC(E149*G149,2)</f>
        <v>0</v>
      </c>
      <c r="K149" s="124">
        <f>TRUNC(E149*H149,2)</f>
        <v>0</v>
      </c>
      <c r="L149" s="121">
        <f>J149+K149</f>
        <v>0</v>
      </c>
      <c r="M149" s="129">
        <f>L149/F149</f>
        <v>0</v>
      </c>
      <c r="N149" s="179">
        <f t="shared" si="85"/>
        <v>21.6</v>
      </c>
    </row>
    <row r="150" spans="1:14" s="141" customFormat="1" ht="26.4" x14ac:dyDescent="0.25">
      <c r="A150" s="130" t="s">
        <v>723</v>
      </c>
      <c r="B150" s="309" t="s">
        <v>244</v>
      </c>
      <c r="C150" s="310" t="s">
        <v>24</v>
      </c>
      <c r="D150" s="324">
        <v>62.56</v>
      </c>
      <c r="E150" s="324">
        <v>13.23</v>
      </c>
      <c r="F150" s="324">
        <v>827.66</v>
      </c>
      <c r="G150" s="124">
        <v>0</v>
      </c>
      <c r="H150" s="124">
        <v>0</v>
      </c>
      <c r="I150" s="121">
        <f>G150+H150</f>
        <v>0</v>
      </c>
      <c r="J150" s="124">
        <f>TRUNC(E150*G150,2)</f>
        <v>0</v>
      </c>
      <c r="K150" s="124">
        <f>TRUNC(E150*H150,2)</f>
        <v>0</v>
      </c>
      <c r="L150" s="121">
        <f>J150+K150</f>
        <v>0</v>
      </c>
      <c r="M150" s="129">
        <f>L150/F150</f>
        <v>0</v>
      </c>
      <c r="N150" s="179">
        <f t="shared" si="85"/>
        <v>62.56</v>
      </c>
    </row>
    <row r="151" spans="1:14" ht="24.75" customHeight="1" x14ac:dyDescent="0.25">
      <c r="A151" s="131">
        <v>12</v>
      </c>
      <c r="B151" s="313" t="s">
        <v>248</v>
      </c>
      <c r="C151" s="132"/>
      <c r="D151" s="333"/>
      <c r="E151" s="333"/>
      <c r="F151" s="334">
        <f>SUM(F152:F178)</f>
        <v>33522.229999999996</v>
      </c>
      <c r="G151" s="128"/>
      <c r="H151" s="128"/>
      <c r="I151" s="128"/>
      <c r="J151" s="117">
        <f>SUM(J152:J178)</f>
        <v>0</v>
      </c>
      <c r="K151" s="117">
        <f>SUM(K152:K178)</f>
        <v>0</v>
      </c>
      <c r="L151" s="117"/>
      <c r="M151" s="314">
        <f>L151/F151</f>
        <v>0</v>
      </c>
    </row>
    <row r="152" spans="1:14" s="141" customFormat="1" ht="39.6" x14ac:dyDescent="0.25">
      <c r="A152" s="130" t="s">
        <v>724</v>
      </c>
      <c r="B152" s="309" t="s">
        <v>250</v>
      </c>
      <c r="C152" s="310" t="s">
        <v>116</v>
      </c>
      <c r="D152" s="324">
        <v>23</v>
      </c>
      <c r="E152" s="324">
        <v>9.3000000000000007</v>
      </c>
      <c r="F152" s="324">
        <v>213.9</v>
      </c>
      <c r="G152" s="124">
        <v>0</v>
      </c>
      <c r="H152" s="124">
        <v>0</v>
      </c>
      <c r="I152" s="121">
        <f t="shared" ref="I152:I197" si="86">G152+H152</f>
        <v>0</v>
      </c>
      <c r="J152" s="124">
        <f t="shared" ref="J152:J197" si="87">TRUNC(E152*G152,2)</f>
        <v>0</v>
      </c>
      <c r="K152" s="124">
        <f t="shared" ref="K152:K197" si="88">TRUNC(E152*H152,2)</f>
        <v>0</v>
      </c>
      <c r="L152" s="121">
        <f t="shared" ref="L152:L197" si="89">J152+K152</f>
        <v>0</v>
      </c>
      <c r="M152" s="129">
        <f t="shared" ref="M152:M215" si="90">L152/F152</f>
        <v>0</v>
      </c>
      <c r="N152" s="179">
        <f t="shared" ref="N152:N178" si="91">D152-I152</f>
        <v>23</v>
      </c>
    </row>
    <row r="153" spans="1:14" s="141" customFormat="1" ht="26.4" x14ac:dyDescent="0.25">
      <c r="A153" s="130" t="s">
        <v>725</v>
      </c>
      <c r="B153" s="309" t="s">
        <v>252</v>
      </c>
      <c r="C153" s="310" t="s">
        <v>116</v>
      </c>
      <c r="D153" s="324">
        <v>8</v>
      </c>
      <c r="E153" s="324">
        <v>5.16</v>
      </c>
      <c r="F153" s="324">
        <v>41.28</v>
      </c>
      <c r="G153" s="124">
        <v>0</v>
      </c>
      <c r="H153" s="124">
        <v>0</v>
      </c>
      <c r="I153" s="121">
        <f t="shared" si="86"/>
        <v>0</v>
      </c>
      <c r="J153" s="124">
        <f t="shared" si="87"/>
        <v>0</v>
      </c>
      <c r="K153" s="124">
        <f t="shared" si="88"/>
        <v>0</v>
      </c>
      <c r="L153" s="121">
        <f t="shared" si="89"/>
        <v>0</v>
      </c>
      <c r="M153" s="129">
        <f t="shared" si="90"/>
        <v>0</v>
      </c>
      <c r="N153" s="179">
        <f t="shared" si="91"/>
        <v>8</v>
      </c>
    </row>
    <row r="154" spans="1:14" s="141" customFormat="1" ht="26.4" x14ac:dyDescent="0.25">
      <c r="A154" s="130" t="s">
        <v>726</v>
      </c>
      <c r="B154" s="309" t="s">
        <v>254</v>
      </c>
      <c r="C154" s="310" t="s">
        <v>116</v>
      </c>
      <c r="D154" s="324">
        <v>3</v>
      </c>
      <c r="E154" s="324">
        <v>10.43</v>
      </c>
      <c r="F154" s="324">
        <v>31.29</v>
      </c>
      <c r="G154" s="124">
        <v>0</v>
      </c>
      <c r="H154" s="124">
        <v>0</v>
      </c>
      <c r="I154" s="121">
        <f t="shared" si="86"/>
        <v>0</v>
      </c>
      <c r="J154" s="124">
        <f t="shared" si="87"/>
        <v>0</v>
      </c>
      <c r="K154" s="124">
        <f t="shared" si="88"/>
        <v>0</v>
      </c>
      <c r="L154" s="121">
        <f t="shared" si="89"/>
        <v>0</v>
      </c>
      <c r="M154" s="129">
        <f t="shared" si="90"/>
        <v>0</v>
      </c>
      <c r="N154" s="179">
        <f t="shared" si="91"/>
        <v>3</v>
      </c>
    </row>
    <row r="155" spans="1:14" s="141" customFormat="1" ht="26.4" x14ac:dyDescent="0.25">
      <c r="A155" s="130" t="s">
        <v>727</v>
      </c>
      <c r="B155" s="309" t="s">
        <v>256</v>
      </c>
      <c r="C155" s="310" t="s">
        <v>116</v>
      </c>
      <c r="D155" s="324">
        <v>11</v>
      </c>
      <c r="E155" s="324">
        <v>16.059999999999999</v>
      </c>
      <c r="F155" s="324">
        <v>176.66</v>
      </c>
      <c r="G155" s="124">
        <v>0</v>
      </c>
      <c r="H155" s="124">
        <v>0</v>
      </c>
      <c r="I155" s="121">
        <f t="shared" si="86"/>
        <v>0</v>
      </c>
      <c r="J155" s="124">
        <f t="shared" si="87"/>
        <v>0</v>
      </c>
      <c r="K155" s="124">
        <f t="shared" si="88"/>
        <v>0</v>
      </c>
      <c r="L155" s="121">
        <f t="shared" si="89"/>
        <v>0</v>
      </c>
      <c r="M155" s="129">
        <f t="shared" si="90"/>
        <v>0</v>
      </c>
      <c r="N155" s="179">
        <f t="shared" si="91"/>
        <v>11</v>
      </c>
    </row>
    <row r="156" spans="1:14" s="141" customFormat="1" ht="26.4" x14ac:dyDescent="0.25">
      <c r="A156" s="130" t="s">
        <v>728</v>
      </c>
      <c r="B156" s="309" t="s">
        <v>258</v>
      </c>
      <c r="C156" s="310" t="s">
        <v>116</v>
      </c>
      <c r="D156" s="325">
        <v>4</v>
      </c>
      <c r="E156" s="325">
        <v>17.75</v>
      </c>
      <c r="F156" s="325">
        <v>71</v>
      </c>
      <c r="G156" s="124">
        <v>0</v>
      </c>
      <c r="H156" s="124">
        <v>0</v>
      </c>
      <c r="I156" s="121">
        <f t="shared" si="86"/>
        <v>0</v>
      </c>
      <c r="J156" s="124">
        <f t="shared" si="87"/>
        <v>0</v>
      </c>
      <c r="K156" s="124">
        <f t="shared" si="88"/>
        <v>0</v>
      </c>
      <c r="L156" s="121">
        <f t="shared" si="89"/>
        <v>0</v>
      </c>
      <c r="M156" s="129">
        <f t="shared" si="90"/>
        <v>0</v>
      </c>
      <c r="N156" s="179">
        <f t="shared" si="91"/>
        <v>4</v>
      </c>
    </row>
    <row r="157" spans="1:14" s="141" customFormat="1" ht="26.4" x14ac:dyDescent="0.25">
      <c r="A157" s="130" t="s">
        <v>729</v>
      </c>
      <c r="B157" s="309" t="s">
        <v>260</v>
      </c>
      <c r="C157" s="310" t="s">
        <v>116</v>
      </c>
      <c r="D157" s="326">
        <v>69</v>
      </c>
      <c r="E157" s="326">
        <v>28.59</v>
      </c>
      <c r="F157" s="326">
        <v>1972.71</v>
      </c>
      <c r="G157" s="124">
        <v>0</v>
      </c>
      <c r="H157" s="124">
        <v>0</v>
      </c>
      <c r="I157" s="121">
        <f t="shared" si="86"/>
        <v>0</v>
      </c>
      <c r="J157" s="124">
        <f t="shared" si="87"/>
        <v>0</v>
      </c>
      <c r="K157" s="124">
        <f t="shared" si="88"/>
        <v>0</v>
      </c>
      <c r="L157" s="121">
        <f t="shared" si="89"/>
        <v>0</v>
      </c>
      <c r="M157" s="129">
        <f t="shared" si="90"/>
        <v>0</v>
      </c>
      <c r="N157" s="179">
        <f t="shared" si="91"/>
        <v>69</v>
      </c>
    </row>
    <row r="158" spans="1:14" s="141" customFormat="1" ht="39.6" x14ac:dyDescent="0.25">
      <c r="A158" s="130" t="s">
        <v>730</v>
      </c>
      <c r="B158" s="309" t="s">
        <v>262</v>
      </c>
      <c r="C158" s="310" t="s">
        <v>31</v>
      </c>
      <c r="D158" s="324">
        <v>14</v>
      </c>
      <c r="E158" s="324">
        <v>5.73</v>
      </c>
      <c r="F158" s="324">
        <v>80.22</v>
      </c>
      <c r="G158" s="124">
        <v>0</v>
      </c>
      <c r="H158" s="124">
        <v>0</v>
      </c>
      <c r="I158" s="121">
        <f t="shared" si="86"/>
        <v>0</v>
      </c>
      <c r="J158" s="124">
        <f t="shared" si="87"/>
        <v>0</v>
      </c>
      <c r="K158" s="124">
        <f t="shared" si="88"/>
        <v>0</v>
      </c>
      <c r="L158" s="121">
        <f t="shared" si="89"/>
        <v>0</v>
      </c>
      <c r="M158" s="129">
        <f t="shared" si="90"/>
        <v>0</v>
      </c>
      <c r="N158" s="179">
        <f t="shared" si="91"/>
        <v>14</v>
      </c>
    </row>
    <row r="159" spans="1:14" s="141" customFormat="1" ht="39.6" x14ac:dyDescent="0.25">
      <c r="A159" s="130" t="s">
        <v>731</v>
      </c>
      <c r="B159" s="309" t="s">
        <v>264</v>
      </c>
      <c r="C159" s="310" t="s">
        <v>31</v>
      </c>
      <c r="D159" s="324">
        <v>15</v>
      </c>
      <c r="E159" s="324">
        <v>4.2300000000000004</v>
      </c>
      <c r="F159" s="324">
        <v>63.45</v>
      </c>
      <c r="G159" s="124">
        <v>0</v>
      </c>
      <c r="H159" s="124">
        <v>0</v>
      </c>
      <c r="I159" s="121">
        <f t="shared" si="86"/>
        <v>0</v>
      </c>
      <c r="J159" s="124">
        <f t="shared" si="87"/>
        <v>0</v>
      </c>
      <c r="K159" s="124">
        <f t="shared" si="88"/>
        <v>0</v>
      </c>
      <c r="L159" s="121">
        <f t="shared" si="89"/>
        <v>0</v>
      </c>
      <c r="M159" s="129">
        <f t="shared" si="90"/>
        <v>0</v>
      </c>
      <c r="N159" s="179">
        <f t="shared" si="91"/>
        <v>15</v>
      </c>
    </row>
    <row r="160" spans="1:14" s="141" customFormat="1" ht="39.6" x14ac:dyDescent="0.25">
      <c r="A160" s="130" t="s">
        <v>732</v>
      </c>
      <c r="B160" s="309" t="s">
        <v>266</v>
      </c>
      <c r="C160" s="310" t="s">
        <v>31</v>
      </c>
      <c r="D160" s="324">
        <v>42</v>
      </c>
      <c r="E160" s="324">
        <v>6.82</v>
      </c>
      <c r="F160" s="324">
        <v>286.44</v>
      </c>
      <c r="G160" s="124">
        <v>0</v>
      </c>
      <c r="H160" s="124">
        <v>0</v>
      </c>
      <c r="I160" s="121">
        <f t="shared" si="86"/>
        <v>0</v>
      </c>
      <c r="J160" s="124">
        <f t="shared" si="87"/>
        <v>0</v>
      </c>
      <c r="K160" s="124">
        <f t="shared" si="88"/>
        <v>0</v>
      </c>
      <c r="L160" s="121">
        <f t="shared" si="89"/>
        <v>0</v>
      </c>
      <c r="M160" s="129">
        <f t="shared" si="90"/>
        <v>0</v>
      </c>
      <c r="N160" s="179">
        <f t="shared" si="91"/>
        <v>42</v>
      </c>
    </row>
    <row r="161" spans="1:14" s="141" customFormat="1" ht="39.6" x14ac:dyDescent="0.25">
      <c r="A161" s="130" t="s">
        <v>733</v>
      </c>
      <c r="B161" s="309" t="s">
        <v>268</v>
      </c>
      <c r="C161" s="310" t="s">
        <v>31</v>
      </c>
      <c r="D161" s="324">
        <v>8</v>
      </c>
      <c r="E161" s="324">
        <v>11.36</v>
      </c>
      <c r="F161" s="324">
        <v>90.88</v>
      </c>
      <c r="G161" s="124">
        <v>0</v>
      </c>
      <c r="H161" s="124">
        <v>0</v>
      </c>
      <c r="I161" s="121">
        <f t="shared" si="86"/>
        <v>0</v>
      </c>
      <c r="J161" s="124">
        <f t="shared" si="87"/>
        <v>0</v>
      </c>
      <c r="K161" s="124">
        <f t="shared" si="88"/>
        <v>0</v>
      </c>
      <c r="L161" s="121">
        <f t="shared" si="89"/>
        <v>0</v>
      </c>
      <c r="M161" s="129">
        <f t="shared" si="90"/>
        <v>0</v>
      </c>
      <c r="N161" s="179">
        <f t="shared" si="91"/>
        <v>8</v>
      </c>
    </row>
    <row r="162" spans="1:14" s="141" customFormat="1" ht="39.6" x14ac:dyDescent="0.25">
      <c r="A162" s="130" t="s">
        <v>734</v>
      </c>
      <c r="B162" s="309" t="s">
        <v>270</v>
      </c>
      <c r="C162" s="310" t="s">
        <v>31</v>
      </c>
      <c r="D162" s="324">
        <v>2</v>
      </c>
      <c r="E162" s="324">
        <v>37.799999999999997</v>
      </c>
      <c r="F162" s="324">
        <v>75.599999999999994</v>
      </c>
      <c r="G162" s="124">
        <v>0</v>
      </c>
      <c r="H162" s="124">
        <v>0</v>
      </c>
      <c r="I162" s="121">
        <f t="shared" si="86"/>
        <v>0</v>
      </c>
      <c r="J162" s="124">
        <f t="shared" si="87"/>
        <v>0</v>
      </c>
      <c r="K162" s="124">
        <f t="shared" si="88"/>
        <v>0</v>
      </c>
      <c r="L162" s="121">
        <f t="shared" si="89"/>
        <v>0</v>
      </c>
      <c r="M162" s="129">
        <f t="shared" si="90"/>
        <v>0</v>
      </c>
      <c r="N162" s="179">
        <f t="shared" si="91"/>
        <v>2</v>
      </c>
    </row>
    <row r="163" spans="1:14" s="141" customFormat="1" ht="39.6" x14ac:dyDescent="0.25">
      <c r="A163" s="130" t="s">
        <v>735</v>
      </c>
      <c r="B163" s="309" t="s">
        <v>272</v>
      </c>
      <c r="C163" s="310" t="s">
        <v>31</v>
      </c>
      <c r="D163" s="324">
        <v>2</v>
      </c>
      <c r="E163" s="324">
        <v>12.29</v>
      </c>
      <c r="F163" s="324">
        <v>24.58</v>
      </c>
      <c r="G163" s="124">
        <v>0</v>
      </c>
      <c r="H163" s="124">
        <v>0</v>
      </c>
      <c r="I163" s="121">
        <f t="shared" si="86"/>
        <v>0</v>
      </c>
      <c r="J163" s="124">
        <f t="shared" si="87"/>
        <v>0</v>
      </c>
      <c r="K163" s="124">
        <f t="shared" si="88"/>
        <v>0</v>
      </c>
      <c r="L163" s="121">
        <f t="shared" si="89"/>
        <v>0</v>
      </c>
      <c r="M163" s="129">
        <f t="shared" si="90"/>
        <v>0</v>
      </c>
      <c r="N163" s="179">
        <f t="shared" si="91"/>
        <v>2</v>
      </c>
    </row>
    <row r="164" spans="1:14" s="141" customFormat="1" ht="39.6" x14ac:dyDescent="0.25">
      <c r="A164" s="130" t="s">
        <v>736</v>
      </c>
      <c r="B164" s="309" t="s">
        <v>274</v>
      </c>
      <c r="C164" s="310" t="s">
        <v>31</v>
      </c>
      <c r="D164" s="324">
        <v>1</v>
      </c>
      <c r="E164" s="324">
        <v>12.19</v>
      </c>
      <c r="F164" s="324">
        <v>12.19</v>
      </c>
      <c r="G164" s="124">
        <v>0</v>
      </c>
      <c r="H164" s="124">
        <v>0</v>
      </c>
      <c r="I164" s="121">
        <f t="shared" si="86"/>
        <v>0</v>
      </c>
      <c r="J164" s="124">
        <f t="shared" si="87"/>
        <v>0</v>
      </c>
      <c r="K164" s="124">
        <f t="shared" si="88"/>
        <v>0</v>
      </c>
      <c r="L164" s="121">
        <f t="shared" si="89"/>
        <v>0</v>
      </c>
      <c r="M164" s="129">
        <f t="shared" si="90"/>
        <v>0</v>
      </c>
      <c r="N164" s="179">
        <f t="shared" si="91"/>
        <v>1</v>
      </c>
    </row>
    <row r="165" spans="1:14" s="141" customFormat="1" ht="39.6" x14ac:dyDescent="0.25">
      <c r="A165" s="130" t="s">
        <v>737</v>
      </c>
      <c r="B165" s="309" t="s">
        <v>276</v>
      </c>
      <c r="C165" s="310" t="s">
        <v>31</v>
      </c>
      <c r="D165" s="324">
        <v>2</v>
      </c>
      <c r="E165" s="324">
        <v>26.79</v>
      </c>
      <c r="F165" s="324">
        <v>53.58</v>
      </c>
      <c r="G165" s="124">
        <v>0</v>
      </c>
      <c r="H165" s="124">
        <v>0</v>
      </c>
      <c r="I165" s="121">
        <f t="shared" si="86"/>
        <v>0</v>
      </c>
      <c r="J165" s="124">
        <f t="shared" si="87"/>
        <v>0</v>
      </c>
      <c r="K165" s="124">
        <f t="shared" si="88"/>
        <v>0</v>
      </c>
      <c r="L165" s="121">
        <f t="shared" si="89"/>
        <v>0</v>
      </c>
      <c r="M165" s="129">
        <f t="shared" si="90"/>
        <v>0</v>
      </c>
      <c r="N165" s="179">
        <f t="shared" si="91"/>
        <v>2</v>
      </c>
    </row>
    <row r="166" spans="1:14" s="141" customFormat="1" ht="39.6" x14ac:dyDescent="0.25">
      <c r="A166" s="130" t="s">
        <v>738</v>
      </c>
      <c r="B166" s="309" t="s">
        <v>278</v>
      </c>
      <c r="C166" s="310" t="s">
        <v>31</v>
      </c>
      <c r="D166" s="324">
        <v>5</v>
      </c>
      <c r="E166" s="324">
        <v>17.48</v>
      </c>
      <c r="F166" s="324">
        <v>87.4</v>
      </c>
      <c r="G166" s="124">
        <v>0</v>
      </c>
      <c r="H166" s="124">
        <v>0</v>
      </c>
      <c r="I166" s="121">
        <f t="shared" si="86"/>
        <v>0</v>
      </c>
      <c r="J166" s="124">
        <f t="shared" si="87"/>
        <v>0</v>
      </c>
      <c r="K166" s="124">
        <f t="shared" si="88"/>
        <v>0</v>
      </c>
      <c r="L166" s="121">
        <f t="shared" si="89"/>
        <v>0</v>
      </c>
      <c r="M166" s="129">
        <f t="shared" si="90"/>
        <v>0</v>
      </c>
      <c r="N166" s="179">
        <f t="shared" si="91"/>
        <v>5</v>
      </c>
    </row>
    <row r="167" spans="1:14" s="141" customFormat="1" ht="39.6" x14ac:dyDescent="0.25">
      <c r="A167" s="130" t="s">
        <v>739</v>
      </c>
      <c r="B167" s="309" t="s">
        <v>280</v>
      </c>
      <c r="C167" s="310" t="s">
        <v>31</v>
      </c>
      <c r="D167" s="324">
        <v>2</v>
      </c>
      <c r="E167" s="324">
        <v>55.65</v>
      </c>
      <c r="F167" s="324">
        <v>111.3</v>
      </c>
      <c r="G167" s="124">
        <v>0</v>
      </c>
      <c r="H167" s="124">
        <v>0</v>
      </c>
      <c r="I167" s="121">
        <f t="shared" si="86"/>
        <v>0</v>
      </c>
      <c r="J167" s="124">
        <f t="shared" si="87"/>
        <v>0</v>
      </c>
      <c r="K167" s="124">
        <f t="shared" si="88"/>
        <v>0</v>
      </c>
      <c r="L167" s="121">
        <f t="shared" si="89"/>
        <v>0</v>
      </c>
      <c r="M167" s="129">
        <f t="shared" si="90"/>
        <v>0</v>
      </c>
      <c r="N167" s="179">
        <f t="shared" si="91"/>
        <v>2</v>
      </c>
    </row>
    <row r="168" spans="1:14" s="141" customFormat="1" ht="39.6" x14ac:dyDescent="0.25">
      <c r="A168" s="130" t="s">
        <v>740</v>
      </c>
      <c r="B168" s="309" t="s">
        <v>282</v>
      </c>
      <c r="C168" s="310" t="s">
        <v>31</v>
      </c>
      <c r="D168" s="324">
        <v>6</v>
      </c>
      <c r="E168" s="324">
        <v>8.0299999999999994</v>
      </c>
      <c r="F168" s="324">
        <v>48.18</v>
      </c>
      <c r="G168" s="124">
        <v>0</v>
      </c>
      <c r="H168" s="124">
        <v>0</v>
      </c>
      <c r="I168" s="121">
        <f t="shared" si="86"/>
        <v>0</v>
      </c>
      <c r="J168" s="124">
        <f t="shared" si="87"/>
        <v>0</v>
      </c>
      <c r="K168" s="124">
        <f t="shared" si="88"/>
        <v>0</v>
      </c>
      <c r="L168" s="121">
        <f t="shared" si="89"/>
        <v>0</v>
      </c>
      <c r="M168" s="129">
        <f t="shared" si="90"/>
        <v>0</v>
      </c>
      <c r="N168" s="179">
        <f t="shared" si="91"/>
        <v>6</v>
      </c>
    </row>
    <row r="169" spans="1:14" s="141" customFormat="1" ht="26.4" x14ac:dyDescent="0.25">
      <c r="A169" s="130" t="s">
        <v>741</v>
      </c>
      <c r="B169" s="309" t="s">
        <v>284</v>
      </c>
      <c r="C169" s="310" t="s">
        <v>31</v>
      </c>
      <c r="D169" s="324">
        <v>4</v>
      </c>
      <c r="E169" s="324">
        <v>6.02</v>
      </c>
      <c r="F169" s="324">
        <v>24.08</v>
      </c>
      <c r="G169" s="124">
        <v>0</v>
      </c>
      <c r="H169" s="124">
        <v>0</v>
      </c>
      <c r="I169" s="121">
        <f t="shared" si="86"/>
        <v>0</v>
      </c>
      <c r="J169" s="124">
        <f t="shared" si="87"/>
        <v>0</v>
      </c>
      <c r="K169" s="124">
        <f t="shared" si="88"/>
        <v>0</v>
      </c>
      <c r="L169" s="121">
        <f t="shared" si="89"/>
        <v>0</v>
      </c>
      <c r="M169" s="129">
        <f t="shared" si="90"/>
        <v>0</v>
      </c>
      <c r="N169" s="179">
        <f t="shared" si="91"/>
        <v>4</v>
      </c>
    </row>
    <row r="170" spans="1:14" s="141" customFormat="1" ht="26.4" x14ac:dyDescent="0.25">
      <c r="A170" s="130" t="s">
        <v>742</v>
      </c>
      <c r="B170" s="309" t="s">
        <v>286</v>
      </c>
      <c r="C170" s="310" t="s">
        <v>31</v>
      </c>
      <c r="D170" s="324">
        <v>1</v>
      </c>
      <c r="E170" s="324">
        <v>16.760000000000002</v>
      </c>
      <c r="F170" s="324">
        <v>16.760000000000002</v>
      </c>
      <c r="G170" s="124">
        <v>0</v>
      </c>
      <c r="H170" s="124">
        <v>0</v>
      </c>
      <c r="I170" s="121">
        <f t="shared" si="86"/>
        <v>0</v>
      </c>
      <c r="J170" s="124">
        <f t="shared" si="87"/>
        <v>0</v>
      </c>
      <c r="K170" s="124">
        <f t="shared" si="88"/>
        <v>0</v>
      </c>
      <c r="L170" s="121">
        <f t="shared" si="89"/>
        <v>0</v>
      </c>
      <c r="M170" s="129">
        <f t="shared" si="90"/>
        <v>0</v>
      </c>
      <c r="N170" s="179">
        <f t="shared" si="91"/>
        <v>1</v>
      </c>
    </row>
    <row r="171" spans="1:14" s="141" customFormat="1" ht="26.4" x14ac:dyDescent="0.25">
      <c r="A171" s="130" t="s">
        <v>743</v>
      </c>
      <c r="B171" s="309" t="s">
        <v>288</v>
      </c>
      <c r="C171" s="310" t="s">
        <v>31</v>
      </c>
      <c r="D171" s="324">
        <v>8</v>
      </c>
      <c r="E171" s="324">
        <v>43.08</v>
      </c>
      <c r="F171" s="324">
        <v>344.64</v>
      </c>
      <c r="G171" s="124">
        <v>0</v>
      </c>
      <c r="H171" s="124">
        <v>0</v>
      </c>
      <c r="I171" s="121">
        <f t="shared" si="86"/>
        <v>0</v>
      </c>
      <c r="J171" s="124">
        <f t="shared" si="87"/>
        <v>0</v>
      </c>
      <c r="K171" s="124">
        <f t="shared" si="88"/>
        <v>0</v>
      </c>
      <c r="L171" s="121">
        <f t="shared" si="89"/>
        <v>0</v>
      </c>
      <c r="M171" s="129">
        <f t="shared" si="90"/>
        <v>0</v>
      </c>
      <c r="N171" s="179">
        <f t="shared" si="91"/>
        <v>8</v>
      </c>
    </row>
    <row r="172" spans="1:14" s="141" customFormat="1" ht="26.4" x14ac:dyDescent="0.25">
      <c r="A172" s="130" t="s">
        <v>744</v>
      </c>
      <c r="B172" s="309" t="s">
        <v>290</v>
      </c>
      <c r="C172" s="310" t="s">
        <v>31</v>
      </c>
      <c r="D172" s="324">
        <v>4</v>
      </c>
      <c r="E172" s="324">
        <v>61.74</v>
      </c>
      <c r="F172" s="324">
        <v>246.96</v>
      </c>
      <c r="G172" s="124">
        <v>0</v>
      </c>
      <c r="H172" s="124">
        <v>0</v>
      </c>
      <c r="I172" s="121">
        <f t="shared" si="86"/>
        <v>0</v>
      </c>
      <c r="J172" s="124">
        <f t="shared" si="87"/>
        <v>0</v>
      </c>
      <c r="K172" s="124">
        <f t="shared" si="88"/>
        <v>0</v>
      </c>
      <c r="L172" s="121">
        <f t="shared" si="89"/>
        <v>0</v>
      </c>
      <c r="M172" s="129">
        <f t="shared" si="90"/>
        <v>0</v>
      </c>
      <c r="N172" s="179">
        <f t="shared" si="91"/>
        <v>4</v>
      </c>
    </row>
    <row r="173" spans="1:14" s="141" customFormat="1" ht="26.4" x14ac:dyDescent="0.25">
      <c r="A173" s="130" t="s">
        <v>745</v>
      </c>
      <c r="B173" s="309" t="s">
        <v>292</v>
      </c>
      <c r="C173" s="310" t="s">
        <v>31</v>
      </c>
      <c r="D173" s="324">
        <v>2</v>
      </c>
      <c r="E173" s="324">
        <v>84.16</v>
      </c>
      <c r="F173" s="324">
        <v>168.32</v>
      </c>
      <c r="G173" s="124">
        <v>0</v>
      </c>
      <c r="H173" s="124">
        <v>0</v>
      </c>
      <c r="I173" s="121">
        <f t="shared" si="86"/>
        <v>0</v>
      </c>
      <c r="J173" s="124">
        <f t="shared" si="87"/>
        <v>0</v>
      </c>
      <c r="K173" s="124">
        <f t="shared" si="88"/>
        <v>0</v>
      </c>
      <c r="L173" s="121">
        <f t="shared" si="89"/>
        <v>0</v>
      </c>
      <c r="M173" s="129">
        <f t="shared" si="90"/>
        <v>0</v>
      </c>
      <c r="N173" s="179">
        <f t="shared" si="91"/>
        <v>2</v>
      </c>
    </row>
    <row r="174" spans="1:14" s="141" customFormat="1" ht="26.4" x14ac:dyDescent="0.25">
      <c r="A174" s="130" t="s">
        <v>746</v>
      </c>
      <c r="B174" s="309" t="s">
        <v>294</v>
      </c>
      <c r="C174" s="310" t="s">
        <v>31</v>
      </c>
      <c r="D174" s="324">
        <v>1</v>
      </c>
      <c r="E174" s="324">
        <v>106.56</v>
      </c>
      <c r="F174" s="324">
        <v>106.56</v>
      </c>
      <c r="G174" s="124">
        <v>0</v>
      </c>
      <c r="H174" s="124">
        <v>0</v>
      </c>
      <c r="I174" s="121">
        <f t="shared" si="86"/>
        <v>0</v>
      </c>
      <c r="J174" s="124">
        <f t="shared" si="87"/>
        <v>0</v>
      </c>
      <c r="K174" s="124">
        <f t="shared" si="88"/>
        <v>0</v>
      </c>
      <c r="L174" s="121">
        <f t="shared" si="89"/>
        <v>0</v>
      </c>
      <c r="M174" s="129">
        <f t="shared" si="90"/>
        <v>0</v>
      </c>
      <c r="N174" s="179">
        <f t="shared" si="91"/>
        <v>1</v>
      </c>
    </row>
    <row r="175" spans="1:14" s="141" customFormat="1" ht="26.4" x14ac:dyDescent="0.25">
      <c r="A175" s="130" t="s">
        <v>747</v>
      </c>
      <c r="B175" s="309" t="s">
        <v>296</v>
      </c>
      <c r="C175" s="310" t="s">
        <v>31</v>
      </c>
      <c r="D175" s="324">
        <v>1</v>
      </c>
      <c r="E175" s="324">
        <v>147.34</v>
      </c>
      <c r="F175" s="324">
        <v>147.34</v>
      </c>
      <c r="G175" s="124">
        <v>0</v>
      </c>
      <c r="H175" s="124">
        <v>0</v>
      </c>
      <c r="I175" s="121">
        <f t="shared" si="86"/>
        <v>0</v>
      </c>
      <c r="J175" s="124">
        <f t="shared" si="87"/>
        <v>0</v>
      </c>
      <c r="K175" s="124">
        <f t="shared" si="88"/>
        <v>0</v>
      </c>
      <c r="L175" s="121">
        <f t="shared" si="89"/>
        <v>0</v>
      </c>
      <c r="M175" s="129">
        <f t="shared" si="90"/>
        <v>0</v>
      </c>
      <c r="N175" s="179">
        <f t="shared" si="91"/>
        <v>1</v>
      </c>
    </row>
    <row r="176" spans="1:14" s="141" customFormat="1" ht="26.4" x14ac:dyDescent="0.25">
      <c r="A176" s="130" t="s">
        <v>748</v>
      </c>
      <c r="B176" s="309" t="s">
        <v>298</v>
      </c>
      <c r="C176" s="310" t="s">
        <v>31</v>
      </c>
      <c r="D176" s="324">
        <v>2</v>
      </c>
      <c r="E176" s="324">
        <v>295.66000000000003</v>
      </c>
      <c r="F176" s="324">
        <v>591.32000000000005</v>
      </c>
      <c r="G176" s="124">
        <v>0</v>
      </c>
      <c r="H176" s="124">
        <v>0</v>
      </c>
      <c r="I176" s="121">
        <f t="shared" si="86"/>
        <v>0</v>
      </c>
      <c r="J176" s="124">
        <f t="shared" si="87"/>
        <v>0</v>
      </c>
      <c r="K176" s="124">
        <f t="shared" si="88"/>
        <v>0</v>
      </c>
      <c r="L176" s="121">
        <f t="shared" si="89"/>
        <v>0</v>
      </c>
      <c r="M176" s="129">
        <f t="shared" si="90"/>
        <v>0</v>
      </c>
      <c r="N176" s="179">
        <f t="shared" si="91"/>
        <v>2</v>
      </c>
    </row>
    <row r="177" spans="1:14" s="141" customFormat="1" ht="39.6" x14ac:dyDescent="0.25">
      <c r="A177" s="130" t="s">
        <v>749</v>
      </c>
      <c r="B177" s="309" t="s">
        <v>300</v>
      </c>
      <c r="C177" s="310" t="s">
        <v>31</v>
      </c>
      <c r="D177" s="324">
        <v>1</v>
      </c>
      <c r="E177" s="324">
        <v>90.15</v>
      </c>
      <c r="F177" s="324">
        <v>90.15</v>
      </c>
      <c r="G177" s="124">
        <v>0</v>
      </c>
      <c r="H177" s="124">
        <v>0</v>
      </c>
      <c r="I177" s="121">
        <f t="shared" si="86"/>
        <v>0</v>
      </c>
      <c r="J177" s="124">
        <f t="shared" si="87"/>
        <v>0</v>
      </c>
      <c r="K177" s="124">
        <f t="shared" si="88"/>
        <v>0</v>
      </c>
      <c r="L177" s="121">
        <f t="shared" si="89"/>
        <v>0</v>
      </c>
      <c r="M177" s="129">
        <f t="shared" si="90"/>
        <v>0</v>
      </c>
      <c r="N177" s="179">
        <f t="shared" si="91"/>
        <v>1</v>
      </c>
    </row>
    <row r="178" spans="1:14" s="141" customFormat="1" ht="26.4" x14ac:dyDescent="0.25">
      <c r="A178" s="130" t="s">
        <v>750</v>
      </c>
      <c r="B178" s="309" t="s">
        <v>302</v>
      </c>
      <c r="C178" s="310" t="s">
        <v>31</v>
      </c>
      <c r="D178" s="324">
        <v>1</v>
      </c>
      <c r="E178" s="324">
        <v>28345.439999999999</v>
      </c>
      <c r="F178" s="327">
        <v>28345.439999999999</v>
      </c>
      <c r="G178" s="124">
        <v>0</v>
      </c>
      <c r="H178" s="124">
        <v>0</v>
      </c>
      <c r="I178" s="121">
        <f t="shared" si="86"/>
        <v>0</v>
      </c>
      <c r="J178" s="124">
        <f t="shared" si="87"/>
        <v>0</v>
      </c>
      <c r="K178" s="124">
        <f t="shared" si="88"/>
        <v>0</v>
      </c>
      <c r="L178" s="121">
        <f t="shared" si="89"/>
        <v>0</v>
      </c>
      <c r="M178" s="129">
        <f t="shared" si="90"/>
        <v>0</v>
      </c>
      <c r="N178" s="179">
        <f t="shared" si="91"/>
        <v>1</v>
      </c>
    </row>
    <row r="179" spans="1:14" s="141" customFormat="1" ht="27" customHeight="1" x14ac:dyDescent="0.25">
      <c r="A179" s="148">
        <v>13</v>
      </c>
      <c r="B179" s="319" t="s">
        <v>304</v>
      </c>
      <c r="C179" s="149"/>
      <c r="D179" s="345"/>
      <c r="E179" s="345"/>
      <c r="F179" s="346">
        <f>SUM(F180:F197)</f>
        <v>32744.34</v>
      </c>
      <c r="G179" s="150"/>
      <c r="H179" s="150"/>
      <c r="I179" s="150"/>
      <c r="J179" s="150">
        <f>SUM(J180:J197)</f>
        <v>0</v>
      </c>
      <c r="K179" s="150">
        <f>SUM(K180:K197)</f>
        <v>0</v>
      </c>
      <c r="L179" s="150"/>
      <c r="M179" s="314">
        <f>L179/F179</f>
        <v>0</v>
      </c>
    </row>
    <row r="180" spans="1:14" s="141" customFormat="1" ht="39.6" x14ac:dyDescent="0.25">
      <c r="A180" s="130" t="s">
        <v>751</v>
      </c>
      <c r="B180" s="309" t="s">
        <v>306</v>
      </c>
      <c r="C180" s="310" t="s">
        <v>116</v>
      </c>
      <c r="D180" s="324">
        <v>28</v>
      </c>
      <c r="E180" s="324">
        <v>17.96</v>
      </c>
      <c r="F180" s="324">
        <v>502.88</v>
      </c>
      <c r="G180" s="124">
        <v>0</v>
      </c>
      <c r="H180" s="124">
        <v>0</v>
      </c>
      <c r="I180" s="121">
        <f t="shared" si="86"/>
        <v>0</v>
      </c>
      <c r="J180" s="124">
        <f t="shared" si="87"/>
        <v>0</v>
      </c>
      <c r="K180" s="124">
        <f t="shared" si="88"/>
        <v>0</v>
      </c>
      <c r="L180" s="121">
        <f t="shared" si="89"/>
        <v>0</v>
      </c>
      <c r="M180" s="129">
        <f t="shared" si="90"/>
        <v>0</v>
      </c>
      <c r="N180" s="179">
        <f t="shared" ref="N180:N197" si="92">D180-I180</f>
        <v>28</v>
      </c>
    </row>
    <row r="181" spans="1:14" s="141" customFormat="1" ht="39.6" x14ac:dyDescent="0.25">
      <c r="A181" s="130" t="s">
        <v>752</v>
      </c>
      <c r="B181" s="309" t="s">
        <v>308</v>
      </c>
      <c r="C181" s="310" t="s">
        <v>116</v>
      </c>
      <c r="D181" s="324">
        <v>25</v>
      </c>
      <c r="E181" s="324">
        <v>23.18</v>
      </c>
      <c r="F181" s="324">
        <v>579.5</v>
      </c>
      <c r="G181" s="124">
        <v>0</v>
      </c>
      <c r="H181" s="124">
        <v>0</v>
      </c>
      <c r="I181" s="121">
        <f t="shared" si="86"/>
        <v>0</v>
      </c>
      <c r="J181" s="124">
        <f t="shared" si="87"/>
        <v>0</v>
      </c>
      <c r="K181" s="124">
        <f t="shared" si="88"/>
        <v>0</v>
      </c>
      <c r="L181" s="121">
        <f t="shared" si="89"/>
        <v>0</v>
      </c>
      <c r="M181" s="129">
        <f t="shared" si="90"/>
        <v>0</v>
      </c>
      <c r="N181" s="179">
        <f t="shared" si="92"/>
        <v>25</v>
      </c>
    </row>
    <row r="182" spans="1:14" s="141" customFormat="1" ht="39.6" x14ac:dyDescent="0.25">
      <c r="A182" s="130" t="s">
        <v>753</v>
      </c>
      <c r="B182" s="309" t="s">
        <v>310</v>
      </c>
      <c r="C182" s="310" t="s">
        <v>116</v>
      </c>
      <c r="D182" s="325">
        <v>77</v>
      </c>
      <c r="E182" s="325">
        <v>24.22</v>
      </c>
      <c r="F182" s="325">
        <v>1864.94</v>
      </c>
      <c r="G182" s="124">
        <v>0</v>
      </c>
      <c r="H182" s="124">
        <v>0</v>
      </c>
      <c r="I182" s="121">
        <f t="shared" si="86"/>
        <v>0</v>
      </c>
      <c r="J182" s="124">
        <f t="shared" si="87"/>
        <v>0</v>
      </c>
      <c r="K182" s="124">
        <f t="shared" si="88"/>
        <v>0</v>
      </c>
      <c r="L182" s="121">
        <f t="shared" si="89"/>
        <v>0</v>
      </c>
      <c r="M182" s="129">
        <f t="shared" si="90"/>
        <v>0</v>
      </c>
      <c r="N182" s="179">
        <f t="shared" si="92"/>
        <v>77</v>
      </c>
    </row>
    <row r="183" spans="1:14" s="141" customFormat="1" ht="39.6" x14ac:dyDescent="0.25">
      <c r="A183" s="130" t="s">
        <v>754</v>
      </c>
      <c r="B183" s="309" t="s">
        <v>312</v>
      </c>
      <c r="C183" s="310" t="s">
        <v>116</v>
      </c>
      <c r="D183" s="326">
        <v>2</v>
      </c>
      <c r="E183" s="326">
        <v>50.98</v>
      </c>
      <c r="F183" s="326">
        <v>101.96</v>
      </c>
      <c r="G183" s="124">
        <v>0</v>
      </c>
      <c r="H183" s="124">
        <v>0</v>
      </c>
      <c r="I183" s="121">
        <f t="shared" si="86"/>
        <v>0</v>
      </c>
      <c r="J183" s="124">
        <f t="shared" si="87"/>
        <v>0</v>
      </c>
      <c r="K183" s="124">
        <f t="shared" si="88"/>
        <v>0</v>
      </c>
      <c r="L183" s="121">
        <f t="shared" si="89"/>
        <v>0</v>
      </c>
      <c r="M183" s="129">
        <f t="shared" si="90"/>
        <v>0</v>
      </c>
      <c r="N183" s="179">
        <f t="shared" si="92"/>
        <v>2</v>
      </c>
    </row>
    <row r="184" spans="1:14" s="141" customFormat="1" ht="52.8" x14ac:dyDescent="0.25">
      <c r="A184" s="130" t="s">
        <v>755</v>
      </c>
      <c r="B184" s="309" t="s">
        <v>314</v>
      </c>
      <c r="C184" s="310" t="s">
        <v>31</v>
      </c>
      <c r="D184" s="324">
        <v>4</v>
      </c>
      <c r="E184" s="324">
        <v>8.41</v>
      </c>
      <c r="F184" s="324">
        <v>33.64</v>
      </c>
      <c r="G184" s="124">
        <v>0</v>
      </c>
      <c r="H184" s="124">
        <v>0</v>
      </c>
      <c r="I184" s="121">
        <f t="shared" si="86"/>
        <v>0</v>
      </c>
      <c r="J184" s="124">
        <f t="shared" si="87"/>
        <v>0</v>
      </c>
      <c r="K184" s="124">
        <f t="shared" si="88"/>
        <v>0</v>
      </c>
      <c r="L184" s="121">
        <f t="shared" si="89"/>
        <v>0</v>
      </c>
      <c r="M184" s="129">
        <f t="shared" si="90"/>
        <v>0</v>
      </c>
      <c r="N184" s="179">
        <f t="shared" si="92"/>
        <v>4</v>
      </c>
    </row>
    <row r="185" spans="1:14" s="141" customFormat="1" ht="52.8" x14ac:dyDescent="0.25">
      <c r="A185" s="130" t="s">
        <v>756</v>
      </c>
      <c r="B185" s="309" t="s">
        <v>316</v>
      </c>
      <c r="C185" s="310" t="s">
        <v>31</v>
      </c>
      <c r="D185" s="324">
        <v>20</v>
      </c>
      <c r="E185" s="324">
        <v>8.19</v>
      </c>
      <c r="F185" s="324">
        <v>163.80000000000001</v>
      </c>
      <c r="G185" s="124">
        <v>0</v>
      </c>
      <c r="H185" s="124">
        <v>0</v>
      </c>
      <c r="I185" s="121">
        <f t="shared" si="86"/>
        <v>0</v>
      </c>
      <c r="J185" s="124">
        <f t="shared" si="87"/>
        <v>0</v>
      </c>
      <c r="K185" s="124">
        <f t="shared" si="88"/>
        <v>0</v>
      </c>
      <c r="L185" s="121">
        <f t="shared" si="89"/>
        <v>0</v>
      </c>
      <c r="M185" s="129">
        <f t="shared" si="90"/>
        <v>0</v>
      </c>
      <c r="N185" s="179">
        <f t="shared" si="92"/>
        <v>20</v>
      </c>
    </row>
    <row r="186" spans="1:14" s="141" customFormat="1" ht="52.8" x14ac:dyDescent="0.25">
      <c r="A186" s="130" t="s">
        <v>757</v>
      </c>
      <c r="B186" s="309" t="s">
        <v>318</v>
      </c>
      <c r="C186" s="310" t="s">
        <v>31</v>
      </c>
      <c r="D186" s="324">
        <v>8</v>
      </c>
      <c r="E186" s="324">
        <v>24.61</v>
      </c>
      <c r="F186" s="324">
        <v>196.88</v>
      </c>
      <c r="G186" s="124">
        <v>0</v>
      </c>
      <c r="H186" s="124">
        <v>0</v>
      </c>
      <c r="I186" s="121">
        <f t="shared" si="86"/>
        <v>0</v>
      </c>
      <c r="J186" s="124">
        <f t="shared" si="87"/>
        <v>0</v>
      </c>
      <c r="K186" s="124">
        <f t="shared" si="88"/>
        <v>0</v>
      </c>
      <c r="L186" s="121">
        <f t="shared" si="89"/>
        <v>0</v>
      </c>
      <c r="M186" s="129">
        <f t="shared" si="90"/>
        <v>0</v>
      </c>
      <c r="N186" s="179">
        <f t="shared" si="92"/>
        <v>8</v>
      </c>
    </row>
    <row r="187" spans="1:14" s="141" customFormat="1" ht="52.8" x14ac:dyDescent="0.25">
      <c r="A187" s="130" t="s">
        <v>758</v>
      </c>
      <c r="B187" s="309" t="s">
        <v>320</v>
      </c>
      <c r="C187" s="310" t="s">
        <v>31</v>
      </c>
      <c r="D187" s="324">
        <v>9</v>
      </c>
      <c r="E187" s="324">
        <v>12.05</v>
      </c>
      <c r="F187" s="324">
        <v>108.45</v>
      </c>
      <c r="G187" s="124">
        <v>0</v>
      </c>
      <c r="H187" s="124">
        <v>0</v>
      </c>
      <c r="I187" s="121">
        <f t="shared" si="86"/>
        <v>0</v>
      </c>
      <c r="J187" s="124">
        <f t="shared" si="87"/>
        <v>0</v>
      </c>
      <c r="K187" s="124">
        <f t="shared" si="88"/>
        <v>0</v>
      </c>
      <c r="L187" s="121">
        <f t="shared" si="89"/>
        <v>0</v>
      </c>
      <c r="M187" s="129">
        <f t="shared" si="90"/>
        <v>0</v>
      </c>
      <c r="N187" s="179">
        <f t="shared" si="92"/>
        <v>9</v>
      </c>
    </row>
    <row r="188" spans="1:14" s="141" customFormat="1" ht="52.8" x14ac:dyDescent="0.25">
      <c r="A188" s="130" t="s">
        <v>759</v>
      </c>
      <c r="B188" s="309" t="s">
        <v>322</v>
      </c>
      <c r="C188" s="310" t="s">
        <v>31</v>
      </c>
      <c r="D188" s="324">
        <v>5</v>
      </c>
      <c r="E188" s="324">
        <v>46.45</v>
      </c>
      <c r="F188" s="324">
        <v>232.25</v>
      </c>
      <c r="G188" s="124">
        <v>0</v>
      </c>
      <c r="H188" s="124">
        <v>0</v>
      </c>
      <c r="I188" s="121">
        <f t="shared" si="86"/>
        <v>0</v>
      </c>
      <c r="J188" s="124">
        <f t="shared" si="87"/>
        <v>0</v>
      </c>
      <c r="K188" s="124">
        <f t="shared" si="88"/>
        <v>0</v>
      </c>
      <c r="L188" s="121">
        <f t="shared" si="89"/>
        <v>0</v>
      </c>
      <c r="M188" s="129">
        <f t="shared" si="90"/>
        <v>0</v>
      </c>
      <c r="N188" s="179">
        <f t="shared" si="92"/>
        <v>5</v>
      </c>
    </row>
    <row r="189" spans="1:14" s="141" customFormat="1" ht="52.8" x14ac:dyDescent="0.25">
      <c r="A189" s="130" t="s">
        <v>760</v>
      </c>
      <c r="B189" s="309" t="s">
        <v>322</v>
      </c>
      <c r="C189" s="310" t="s">
        <v>31</v>
      </c>
      <c r="D189" s="324">
        <v>3</v>
      </c>
      <c r="E189" s="324">
        <v>46.45</v>
      </c>
      <c r="F189" s="324">
        <v>139.35</v>
      </c>
      <c r="G189" s="124">
        <v>0</v>
      </c>
      <c r="H189" s="124">
        <v>0</v>
      </c>
      <c r="I189" s="121">
        <f t="shared" si="86"/>
        <v>0</v>
      </c>
      <c r="J189" s="124">
        <f t="shared" si="87"/>
        <v>0</v>
      </c>
      <c r="K189" s="124">
        <f t="shared" si="88"/>
        <v>0</v>
      </c>
      <c r="L189" s="121">
        <f t="shared" si="89"/>
        <v>0</v>
      </c>
      <c r="M189" s="129">
        <f t="shared" si="90"/>
        <v>0</v>
      </c>
      <c r="N189" s="179">
        <f t="shared" si="92"/>
        <v>3</v>
      </c>
    </row>
    <row r="190" spans="1:14" s="141" customFormat="1" ht="39.6" x14ac:dyDescent="0.25">
      <c r="A190" s="130" t="s">
        <v>761</v>
      </c>
      <c r="B190" s="309" t="s">
        <v>324</v>
      </c>
      <c r="C190" s="310" t="s">
        <v>31</v>
      </c>
      <c r="D190" s="324">
        <v>4</v>
      </c>
      <c r="E190" s="324">
        <v>36.49</v>
      </c>
      <c r="F190" s="324">
        <v>145.96</v>
      </c>
      <c r="G190" s="124">
        <v>0</v>
      </c>
      <c r="H190" s="124">
        <v>0</v>
      </c>
      <c r="I190" s="121">
        <f t="shared" si="86"/>
        <v>0</v>
      </c>
      <c r="J190" s="124">
        <f t="shared" si="87"/>
        <v>0</v>
      </c>
      <c r="K190" s="124">
        <f t="shared" si="88"/>
        <v>0</v>
      </c>
      <c r="L190" s="121">
        <f t="shared" si="89"/>
        <v>0</v>
      </c>
      <c r="M190" s="129">
        <f t="shared" si="90"/>
        <v>0</v>
      </c>
      <c r="N190" s="179">
        <f t="shared" si="92"/>
        <v>4</v>
      </c>
    </row>
    <row r="191" spans="1:14" s="141" customFormat="1" ht="39.6" x14ac:dyDescent="0.25">
      <c r="A191" s="130" t="s">
        <v>762</v>
      </c>
      <c r="B191" s="309" t="s">
        <v>326</v>
      </c>
      <c r="C191" s="310" t="s">
        <v>31</v>
      </c>
      <c r="D191" s="324">
        <v>4</v>
      </c>
      <c r="E191" s="324">
        <v>15.76</v>
      </c>
      <c r="F191" s="324">
        <v>63.04</v>
      </c>
      <c r="G191" s="124">
        <v>0</v>
      </c>
      <c r="H191" s="124">
        <v>0</v>
      </c>
      <c r="I191" s="121">
        <f t="shared" si="86"/>
        <v>0</v>
      </c>
      <c r="J191" s="124">
        <f t="shared" si="87"/>
        <v>0</v>
      </c>
      <c r="K191" s="124">
        <f t="shared" si="88"/>
        <v>0</v>
      </c>
      <c r="L191" s="121">
        <f t="shared" si="89"/>
        <v>0</v>
      </c>
      <c r="M191" s="129">
        <f t="shared" si="90"/>
        <v>0</v>
      </c>
      <c r="N191" s="179">
        <f t="shared" si="92"/>
        <v>4</v>
      </c>
    </row>
    <row r="192" spans="1:14" s="141" customFormat="1" ht="26.4" x14ac:dyDescent="0.25">
      <c r="A192" s="130" t="s">
        <v>763</v>
      </c>
      <c r="B192" s="309" t="s">
        <v>328</v>
      </c>
      <c r="C192" s="310" t="s">
        <v>31</v>
      </c>
      <c r="D192" s="324">
        <v>4</v>
      </c>
      <c r="E192" s="324">
        <v>51.41</v>
      </c>
      <c r="F192" s="324">
        <v>205.64</v>
      </c>
      <c r="G192" s="124">
        <v>0</v>
      </c>
      <c r="H192" s="124">
        <v>0</v>
      </c>
      <c r="I192" s="121">
        <f t="shared" si="86"/>
        <v>0</v>
      </c>
      <c r="J192" s="124">
        <f t="shared" si="87"/>
        <v>0</v>
      </c>
      <c r="K192" s="124">
        <f t="shared" si="88"/>
        <v>0</v>
      </c>
      <c r="L192" s="121">
        <f t="shared" si="89"/>
        <v>0</v>
      </c>
      <c r="M192" s="129">
        <f t="shared" si="90"/>
        <v>0</v>
      </c>
      <c r="N192" s="179">
        <f t="shared" si="92"/>
        <v>4</v>
      </c>
    </row>
    <row r="193" spans="1:14" s="141" customFormat="1" x14ac:dyDescent="0.25">
      <c r="A193" s="130" t="s">
        <v>764</v>
      </c>
      <c r="B193" s="309" t="s">
        <v>330</v>
      </c>
      <c r="C193" s="310" t="s">
        <v>24</v>
      </c>
      <c r="D193" s="324">
        <v>10</v>
      </c>
      <c r="E193" s="324">
        <v>262.14</v>
      </c>
      <c r="F193" s="324">
        <v>2621.4</v>
      </c>
      <c r="G193" s="124">
        <v>0</v>
      </c>
      <c r="H193" s="124">
        <v>0</v>
      </c>
      <c r="I193" s="121">
        <f t="shared" si="86"/>
        <v>0</v>
      </c>
      <c r="J193" s="124">
        <f t="shared" si="87"/>
        <v>0</v>
      </c>
      <c r="K193" s="124">
        <f t="shared" si="88"/>
        <v>0</v>
      </c>
      <c r="L193" s="121">
        <f t="shared" si="89"/>
        <v>0</v>
      </c>
      <c r="M193" s="129">
        <f t="shared" si="90"/>
        <v>0</v>
      </c>
      <c r="N193" s="179">
        <f t="shared" si="92"/>
        <v>10</v>
      </c>
    </row>
    <row r="194" spans="1:14" s="141" customFormat="1" ht="26.4" x14ac:dyDescent="0.25">
      <c r="A194" s="130" t="s">
        <v>765</v>
      </c>
      <c r="B194" s="309" t="s">
        <v>332</v>
      </c>
      <c r="C194" s="310" t="s">
        <v>31</v>
      </c>
      <c r="D194" s="324">
        <v>1</v>
      </c>
      <c r="E194" s="324">
        <v>285.52</v>
      </c>
      <c r="F194" s="324">
        <v>285.52</v>
      </c>
      <c r="G194" s="124">
        <v>0</v>
      </c>
      <c r="H194" s="124">
        <v>0</v>
      </c>
      <c r="I194" s="121">
        <f t="shared" si="86"/>
        <v>0</v>
      </c>
      <c r="J194" s="124">
        <f t="shared" si="87"/>
        <v>0</v>
      </c>
      <c r="K194" s="124">
        <f t="shared" si="88"/>
        <v>0</v>
      </c>
      <c r="L194" s="121">
        <f t="shared" si="89"/>
        <v>0</v>
      </c>
      <c r="M194" s="129">
        <f t="shared" si="90"/>
        <v>0</v>
      </c>
      <c r="N194" s="179">
        <f t="shared" si="92"/>
        <v>1</v>
      </c>
    </row>
    <row r="195" spans="1:14" s="141" customFormat="1" ht="39.6" x14ac:dyDescent="0.25">
      <c r="A195" s="130" t="s">
        <v>766</v>
      </c>
      <c r="B195" s="309" t="s">
        <v>334</v>
      </c>
      <c r="C195" s="310" t="s">
        <v>31</v>
      </c>
      <c r="D195" s="324">
        <v>4</v>
      </c>
      <c r="E195" s="324">
        <v>3734.61</v>
      </c>
      <c r="F195" s="324">
        <v>14938.44</v>
      </c>
      <c r="G195" s="124">
        <v>0</v>
      </c>
      <c r="H195" s="124">
        <v>0</v>
      </c>
      <c r="I195" s="121">
        <f t="shared" si="86"/>
        <v>0</v>
      </c>
      <c r="J195" s="124">
        <f t="shared" si="87"/>
        <v>0</v>
      </c>
      <c r="K195" s="124">
        <f t="shared" si="88"/>
        <v>0</v>
      </c>
      <c r="L195" s="121">
        <f t="shared" si="89"/>
        <v>0</v>
      </c>
      <c r="M195" s="129">
        <f t="shared" si="90"/>
        <v>0</v>
      </c>
      <c r="N195" s="179">
        <f t="shared" si="92"/>
        <v>4</v>
      </c>
    </row>
    <row r="196" spans="1:14" s="141" customFormat="1" ht="39.6" x14ac:dyDescent="0.25">
      <c r="A196" s="130" t="s">
        <v>767</v>
      </c>
      <c r="B196" s="309" t="s">
        <v>336</v>
      </c>
      <c r="C196" s="310" t="s">
        <v>31</v>
      </c>
      <c r="D196" s="324">
        <v>1</v>
      </c>
      <c r="E196" s="324">
        <v>9121.2099999999991</v>
      </c>
      <c r="F196" s="324">
        <v>9121.2099999999991</v>
      </c>
      <c r="G196" s="124">
        <v>0</v>
      </c>
      <c r="H196" s="124">
        <v>0</v>
      </c>
      <c r="I196" s="121">
        <f t="shared" si="86"/>
        <v>0</v>
      </c>
      <c r="J196" s="124">
        <f t="shared" si="87"/>
        <v>0</v>
      </c>
      <c r="K196" s="124">
        <f t="shared" si="88"/>
        <v>0</v>
      </c>
      <c r="L196" s="121">
        <f t="shared" si="89"/>
        <v>0</v>
      </c>
      <c r="M196" s="129">
        <f t="shared" si="90"/>
        <v>0</v>
      </c>
      <c r="N196" s="179">
        <f t="shared" si="92"/>
        <v>1</v>
      </c>
    </row>
    <row r="197" spans="1:14" s="141" customFormat="1" ht="26.4" x14ac:dyDescent="0.25">
      <c r="A197" s="130" t="s">
        <v>768</v>
      </c>
      <c r="B197" s="309" t="s">
        <v>338</v>
      </c>
      <c r="C197" s="310" t="s">
        <v>116</v>
      </c>
      <c r="D197" s="324">
        <v>8.42</v>
      </c>
      <c r="E197" s="324">
        <v>170.96</v>
      </c>
      <c r="F197" s="324">
        <v>1439.48</v>
      </c>
      <c r="G197" s="124">
        <v>0</v>
      </c>
      <c r="H197" s="124">
        <v>0</v>
      </c>
      <c r="I197" s="121">
        <f t="shared" si="86"/>
        <v>0</v>
      </c>
      <c r="J197" s="124">
        <f t="shared" si="87"/>
        <v>0</v>
      </c>
      <c r="K197" s="124">
        <f t="shared" si="88"/>
        <v>0</v>
      </c>
      <c r="L197" s="121">
        <f t="shared" si="89"/>
        <v>0</v>
      </c>
      <c r="M197" s="129">
        <f t="shared" si="90"/>
        <v>0</v>
      </c>
      <c r="N197" s="179">
        <f t="shared" si="92"/>
        <v>8.42</v>
      </c>
    </row>
    <row r="198" spans="1:14" ht="32.25" customHeight="1" x14ac:dyDescent="0.25">
      <c r="A198" s="131">
        <v>14</v>
      </c>
      <c r="B198" s="313" t="s">
        <v>340</v>
      </c>
      <c r="C198" s="132"/>
      <c r="D198" s="333"/>
      <c r="E198" s="333"/>
      <c r="F198" s="334">
        <f>SUM(F199:F218)</f>
        <v>15256.04</v>
      </c>
      <c r="G198" s="128"/>
      <c r="H198" s="128"/>
      <c r="I198" s="128"/>
      <c r="J198" s="117">
        <f>SUM(J199:J218)</f>
        <v>0</v>
      </c>
      <c r="K198" s="117">
        <f>SUM(K199:K218)</f>
        <v>0</v>
      </c>
      <c r="L198" s="117"/>
      <c r="M198" s="314">
        <f>L198/F198</f>
        <v>0</v>
      </c>
    </row>
    <row r="199" spans="1:14" s="141" customFormat="1" x14ac:dyDescent="0.25">
      <c r="A199" s="130" t="s">
        <v>769</v>
      </c>
      <c r="B199" s="309" t="s">
        <v>342</v>
      </c>
      <c r="C199" s="310" t="s">
        <v>31</v>
      </c>
      <c r="D199" s="324">
        <v>2</v>
      </c>
      <c r="E199" s="324">
        <v>67.19</v>
      </c>
      <c r="F199" s="324">
        <v>134.38</v>
      </c>
      <c r="G199" s="124">
        <v>0</v>
      </c>
      <c r="H199" s="124">
        <v>0</v>
      </c>
      <c r="I199" s="121"/>
      <c r="J199" s="124">
        <f>TRUNC(E199*G199,2)</f>
        <v>0</v>
      </c>
      <c r="K199" s="124">
        <f>TRUNC(E199*H199,2)</f>
        <v>0</v>
      </c>
      <c r="L199" s="121">
        <f>J199+K199</f>
        <v>0</v>
      </c>
      <c r="M199" s="129">
        <f t="shared" ref="M199" si="93">L199/F199</f>
        <v>0</v>
      </c>
      <c r="N199" s="179">
        <f t="shared" ref="N199:N218" si="94">D199-I199</f>
        <v>2</v>
      </c>
    </row>
    <row r="200" spans="1:14" s="141" customFormat="1" ht="52.8" x14ac:dyDescent="0.25">
      <c r="A200" s="130" t="s">
        <v>770</v>
      </c>
      <c r="B200" s="309" t="s">
        <v>344</v>
      </c>
      <c r="C200" s="310" t="s">
        <v>31</v>
      </c>
      <c r="D200" s="324">
        <v>5</v>
      </c>
      <c r="E200" s="324">
        <v>275.16000000000003</v>
      </c>
      <c r="F200" s="324">
        <v>1375.8</v>
      </c>
      <c r="G200" s="124">
        <v>0</v>
      </c>
      <c r="H200" s="124">
        <v>0</v>
      </c>
      <c r="I200" s="121">
        <f>G200+H200</f>
        <v>0</v>
      </c>
      <c r="J200" s="124">
        <f>TRUNC(E200*G200,2)</f>
        <v>0</v>
      </c>
      <c r="K200" s="124">
        <f>TRUNC(E200*H200,2)</f>
        <v>0</v>
      </c>
      <c r="L200" s="121">
        <f>J200+K200</f>
        <v>0</v>
      </c>
      <c r="M200" s="129">
        <f t="shared" si="90"/>
        <v>0</v>
      </c>
      <c r="N200" s="179">
        <f t="shared" si="94"/>
        <v>5</v>
      </c>
    </row>
    <row r="201" spans="1:14" s="141" customFormat="1" ht="39.6" x14ac:dyDescent="0.25">
      <c r="A201" s="130" t="s">
        <v>771</v>
      </c>
      <c r="B201" s="309" t="s">
        <v>346</v>
      </c>
      <c r="C201" s="310" t="s">
        <v>31</v>
      </c>
      <c r="D201" s="324">
        <v>5</v>
      </c>
      <c r="E201" s="324">
        <v>279.68</v>
      </c>
      <c r="F201" s="324">
        <v>1398.4</v>
      </c>
      <c r="G201" s="124">
        <v>0</v>
      </c>
      <c r="H201" s="124">
        <v>0</v>
      </c>
      <c r="I201" s="121">
        <f>G201+H201</f>
        <v>0</v>
      </c>
      <c r="J201" s="124">
        <f>TRUNC(E201*G201,2)</f>
        <v>0</v>
      </c>
      <c r="K201" s="124">
        <f>TRUNC(E201*H201,2)</f>
        <v>0</v>
      </c>
      <c r="L201" s="121">
        <f>J201+K201</f>
        <v>0</v>
      </c>
      <c r="M201" s="129">
        <f t="shared" si="90"/>
        <v>0</v>
      </c>
      <c r="N201" s="179">
        <f t="shared" si="94"/>
        <v>5</v>
      </c>
    </row>
    <row r="202" spans="1:14" s="141" customFormat="1" ht="39.6" x14ac:dyDescent="0.25">
      <c r="A202" s="130" t="s">
        <v>772</v>
      </c>
      <c r="B202" s="309" t="s">
        <v>348</v>
      </c>
      <c r="C202" s="310" t="s">
        <v>31</v>
      </c>
      <c r="D202" s="324">
        <v>3</v>
      </c>
      <c r="E202" s="324">
        <v>452.74</v>
      </c>
      <c r="F202" s="324">
        <v>1358.22</v>
      </c>
      <c r="G202" s="124">
        <v>0</v>
      </c>
      <c r="H202" s="124">
        <v>0</v>
      </c>
      <c r="I202" s="121">
        <f t="shared" ref="I202:I218" si="95">G202+H202</f>
        <v>0</v>
      </c>
      <c r="J202" s="124">
        <f t="shared" ref="J202:J218" si="96">TRUNC(E202*G202,2)</f>
        <v>0</v>
      </c>
      <c r="K202" s="124">
        <f t="shared" ref="K202:K218" si="97">TRUNC(E202*H202,2)</f>
        <v>0</v>
      </c>
      <c r="L202" s="121">
        <f t="shared" ref="L202:L218" si="98">J202+K202</f>
        <v>0</v>
      </c>
      <c r="M202" s="129">
        <f t="shared" si="90"/>
        <v>0</v>
      </c>
      <c r="N202" s="179">
        <f t="shared" si="94"/>
        <v>3</v>
      </c>
    </row>
    <row r="203" spans="1:14" s="141" customFormat="1" ht="26.4" x14ac:dyDescent="0.25">
      <c r="A203" s="130" t="s">
        <v>773</v>
      </c>
      <c r="B203" s="309" t="s">
        <v>350</v>
      </c>
      <c r="C203" s="310" t="s">
        <v>31</v>
      </c>
      <c r="D203" s="324">
        <v>1</v>
      </c>
      <c r="E203" s="324">
        <v>611.21</v>
      </c>
      <c r="F203" s="324">
        <v>611.21</v>
      </c>
      <c r="G203" s="124">
        <v>0</v>
      </c>
      <c r="H203" s="124">
        <v>0</v>
      </c>
      <c r="I203" s="121">
        <f t="shared" si="95"/>
        <v>0</v>
      </c>
      <c r="J203" s="124">
        <f t="shared" si="96"/>
        <v>0</v>
      </c>
      <c r="K203" s="124">
        <f t="shared" si="97"/>
        <v>0</v>
      </c>
      <c r="L203" s="121">
        <f t="shared" si="98"/>
        <v>0</v>
      </c>
      <c r="M203" s="129">
        <f t="shared" si="90"/>
        <v>0</v>
      </c>
      <c r="N203" s="179">
        <f t="shared" si="94"/>
        <v>1</v>
      </c>
    </row>
    <row r="204" spans="1:14" s="141" customFormat="1" ht="39.6" x14ac:dyDescent="0.25">
      <c r="A204" s="130" t="s">
        <v>774</v>
      </c>
      <c r="B204" s="309" t="s">
        <v>352</v>
      </c>
      <c r="C204" s="310" t="s">
        <v>31</v>
      </c>
      <c r="D204" s="324">
        <v>5</v>
      </c>
      <c r="E204" s="324">
        <v>132.51</v>
      </c>
      <c r="F204" s="324">
        <v>662.55</v>
      </c>
      <c r="G204" s="124">
        <v>0</v>
      </c>
      <c r="H204" s="124">
        <v>0</v>
      </c>
      <c r="I204" s="121">
        <f t="shared" si="95"/>
        <v>0</v>
      </c>
      <c r="J204" s="124">
        <f t="shared" si="96"/>
        <v>0</v>
      </c>
      <c r="K204" s="124">
        <f t="shared" si="97"/>
        <v>0</v>
      </c>
      <c r="L204" s="121">
        <f t="shared" si="98"/>
        <v>0</v>
      </c>
      <c r="M204" s="129">
        <f t="shared" si="90"/>
        <v>0</v>
      </c>
      <c r="N204" s="179">
        <f t="shared" si="94"/>
        <v>5</v>
      </c>
    </row>
    <row r="205" spans="1:14" s="141" customFormat="1" ht="26.4" x14ac:dyDescent="0.25">
      <c r="A205" s="130" t="s">
        <v>775</v>
      </c>
      <c r="B205" s="309" t="s">
        <v>354</v>
      </c>
      <c r="C205" s="310" t="s">
        <v>31</v>
      </c>
      <c r="D205" s="324">
        <v>6</v>
      </c>
      <c r="E205" s="324">
        <v>132.80000000000001</v>
      </c>
      <c r="F205" s="324">
        <v>796.8</v>
      </c>
      <c r="G205" s="124">
        <v>0</v>
      </c>
      <c r="H205" s="124">
        <v>0</v>
      </c>
      <c r="I205" s="121">
        <f t="shared" si="95"/>
        <v>0</v>
      </c>
      <c r="J205" s="124">
        <f t="shared" si="96"/>
        <v>0</v>
      </c>
      <c r="K205" s="124">
        <f t="shared" si="97"/>
        <v>0</v>
      </c>
      <c r="L205" s="121">
        <f t="shared" si="98"/>
        <v>0</v>
      </c>
      <c r="M205" s="129">
        <f t="shared" si="90"/>
        <v>0</v>
      </c>
      <c r="N205" s="179">
        <f t="shared" si="94"/>
        <v>6</v>
      </c>
    </row>
    <row r="206" spans="1:14" s="141" customFormat="1" ht="39.6" x14ac:dyDescent="0.25">
      <c r="A206" s="130" t="s">
        <v>776</v>
      </c>
      <c r="B206" s="309" t="s">
        <v>356</v>
      </c>
      <c r="C206" s="310" t="s">
        <v>31</v>
      </c>
      <c r="D206" s="325">
        <v>11</v>
      </c>
      <c r="E206" s="325">
        <v>55.87</v>
      </c>
      <c r="F206" s="325">
        <v>614.57000000000005</v>
      </c>
      <c r="G206" s="124">
        <v>0</v>
      </c>
      <c r="H206" s="124">
        <v>0</v>
      </c>
      <c r="I206" s="121">
        <f t="shared" si="95"/>
        <v>0</v>
      </c>
      <c r="J206" s="124">
        <f t="shared" si="96"/>
        <v>0</v>
      </c>
      <c r="K206" s="124">
        <f t="shared" si="97"/>
        <v>0</v>
      </c>
      <c r="L206" s="121">
        <f t="shared" si="98"/>
        <v>0</v>
      </c>
      <c r="M206" s="129">
        <f t="shared" si="90"/>
        <v>0</v>
      </c>
      <c r="N206" s="179">
        <f t="shared" si="94"/>
        <v>11</v>
      </c>
    </row>
    <row r="207" spans="1:14" s="141" customFormat="1" ht="26.4" x14ac:dyDescent="0.25">
      <c r="A207" s="130" t="s">
        <v>777</v>
      </c>
      <c r="B207" s="309" t="s">
        <v>358</v>
      </c>
      <c r="C207" s="310" t="s">
        <v>31</v>
      </c>
      <c r="D207" s="326">
        <v>8</v>
      </c>
      <c r="E207" s="326">
        <v>25.19</v>
      </c>
      <c r="F207" s="326">
        <v>201.52</v>
      </c>
      <c r="G207" s="124">
        <v>0</v>
      </c>
      <c r="H207" s="124">
        <v>0</v>
      </c>
      <c r="I207" s="121">
        <f t="shared" si="95"/>
        <v>0</v>
      </c>
      <c r="J207" s="124">
        <f t="shared" si="96"/>
        <v>0</v>
      </c>
      <c r="K207" s="124">
        <f t="shared" si="97"/>
        <v>0</v>
      </c>
      <c r="L207" s="121">
        <f t="shared" si="98"/>
        <v>0</v>
      </c>
      <c r="M207" s="129">
        <f t="shared" si="90"/>
        <v>0</v>
      </c>
      <c r="N207" s="179">
        <f t="shared" si="94"/>
        <v>8</v>
      </c>
    </row>
    <row r="208" spans="1:14" s="141" customFormat="1" ht="39.6" x14ac:dyDescent="0.25">
      <c r="A208" s="130" t="s">
        <v>778</v>
      </c>
      <c r="B208" s="309" t="s">
        <v>360</v>
      </c>
      <c r="C208" s="310" t="s">
        <v>31</v>
      </c>
      <c r="D208" s="324">
        <v>4</v>
      </c>
      <c r="E208" s="324">
        <v>307.7</v>
      </c>
      <c r="F208" s="324">
        <v>1230.8</v>
      </c>
      <c r="G208" s="124">
        <v>0</v>
      </c>
      <c r="H208" s="124">
        <v>0</v>
      </c>
      <c r="I208" s="121">
        <f t="shared" si="95"/>
        <v>0</v>
      </c>
      <c r="J208" s="124">
        <f t="shared" si="96"/>
        <v>0</v>
      </c>
      <c r="K208" s="124">
        <f t="shared" si="97"/>
        <v>0</v>
      </c>
      <c r="L208" s="121">
        <f t="shared" si="98"/>
        <v>0</v>
      </c>
      <c r="M208" s="129">
        <f t="shared" si="90"/>
        <v>0</v>
      </c>
      <c r="N208" s="179">
        <f t="shared" si="94"/>
        <v>4</v>
      </c>
    </row>
    <row r="209" spans="1:14" s="141" customFormat="1" ht="39.6" x14ac:dyDescent="0.25">
      <c r="A209" s="130" t="s">
        <v>779</v>
      </c>
      <c r="B209" s="309" t="s">
        <v>362</v>
      </c>
      <c r="C209" s="310" t="s">
        <v>31</v>
      </c>
      <c r="D209" s="324">
        <v>2</v>
      </c>
      <c r="E209" s="324">
        <v>593.77</v>
      </c>
      <c r="F209" s="324">
        <v>1187.54</v>
      </c>
      <c r="G209" s="124">
        <v>0</v>
      </c>
      <c r="H209" s="124">
        <v>0</v>
      </c>
      <c r="I209" s="121">
        <f t="shared" si="95"/>
        <v>0</v>
      </c>
      <c r="J209" s="124">
        <f t="shared" si="96"/>
        <v>0</v>
      </c>
      <c r="K209" s="124">
        <f t="shared" si="97"/>
        <v>0</v>
      </c>
      <c r="L209" s="121">
        <f t="shared" si="98"/>
        <v>0</v>
      </c>
      <c r="M209" s="129">
        <f t="shared" si="90"/>
        <v>0</v>
      </c>
      <c r="N209" s="179">
        <f t="shared" si="94"/>
        <v>2</v>
      </c>
    </row>
    <row r="210" spans="1:14" s="141" customFormat="1" x14ac:dyDescent="0.25">
      <c r="A210" s="130" t="s">
        <v>780</v>
      </c>
      <c r="B210" s="309" t="s">
        <v>364</v>
      </c>
      <c r="C210" s="310" t="s">
        <v>365</v>
      </c>
      <c r="D210" s="324">
        <v>9</v>
      </c>
      <c r="E210" s="324">
        <v>44.86</v>
      </c>
      <c r="F210" s="324">
        <v>403.74</v>
      </c>
      <c r="G210" s="124">
        <v>0</v>
      </c>
      <c r="H210" s="124">
        <v>0</v>
      </c>
      <c r="I210" s="121">
        <f t="shared" si="95"/>
        <v>0</v>
      </c>
      <c r="J210" s="124">
        <f t="shared" si="96"/>
        <v>0</v>
      </c>
      <c r="K210" s="124">
        <f t="shared" si="97"/>
        <v>0</v>
      </c>
      <c r="L210" s="121">
        <f t="shared" si="98"/>
        <v>0</v>
      </c>
      <c r="M210" s="129">
        <f t="shared" si="90"/>
        <v>0</v>
      </c>
      <c r="N210" s="179">
        <f t="shared" si="94"/>
        <v>9</v>
      </c>
    </row>
    <row r="211" spans="1:14" s="141" customFormat="1" ht="39.6" x14ac:dyDescent="0.25">
      <c r="A211" s="130" t="s">
        <v>781</v>
      </c>
      <c r="B211" s="309" t="s">
        <v>367</v>
      </c>
      <c r="C211" s="310" t="s">
        <v>31</v>
      </c>
      <c r="D211" s="324">
        <v>9</v>
      </c>
      <c r="E211" s="324">
        <v>87.18</v>
      </c>
      <c r="F211" s="324">
        <v>784.62</v>
      </c>
      <c r="G211" s="124">
        <v>0</v>
      </c>
      <c r="H211" s="124">
        <v>0</v>
      </c>
      <c r="I211" s="121">
        <f t="shared" si="95"/>
        <v>0</v>
      </c>
      <c r="J211" s="124">
        <f t="shared" si="96"/>
        <v>0</v>
      </c>
      <c r="K211" s="124">
        <f t="shared" si="97"/>
        <v>0</v>
      </c>
      <c r="L211" s="121">
        <f t="shared" si="98"/>
        <v>0</v>
      </c>
      <c r="M211" s="129">
        <f t="shared" si="90"/>
        <v>0</v>
      </c>
      <c r="N211" s="179">
        <f t="shared" si="94"/>
        <v>9</v>
      </c>
    </row>
    <row r="212" spans="1:14" s="141" customFormat="1" ht="52.8" x14ac:dyDescent="0.25">
      <c r="A212" s="130" t="s">
        <v>782</v>
      </c>
      <c r="B212" s="309" t="s">
        <v>369</v>
      </c>
      <c r="C212" s="310" t="s">
        <v>31</v>
      </c>
      <c r="D212" s="324">
        <v>1</v>
      </c>
      <c r="E212" s="324">
        <v>786.68</v>
      </c>
      <c r="F212" s="324">
        <v>786.68</v>
      </c>
      <c r="G212" s="124">
        <v>0</v>
      </c>
      <c r="H212" s="124">
        <v>0</v>
      </c>
      <c r="I212" s="121">
        <f t="shared" si="95"/>
        <v>0</v>
      </c>
      <c r="J212" s="124">
        <f t="shared" si="96"/>
        <v>0</v>
      </c>
      <c r="K212" s="124">
        <f t="shared" si="97"/>
        <v>0</v>
      </c>
      <c r="L212" s="121">
        <f t="shared" si="98"/>
        <v>0</v>
      </c>
      <c r="M212" s="129">
        <f t="shared" si="90"/>
        <v>0</v>
      </c>
      <c r="N212" s="179">
        <f t="shared" si="94"/>
        <v>1</v>
      </c>
    </row>
    <row r="213" spans="1:14" s="141" customFormat="1" ht="39.6" x14ac:dyDescent="0.25">
      <c r="A213" s="130" t="s">
        <v>783</v>
      </c>
      <c r="B213" s="309" t="s">
        <v>371</v>
      </c>
      <c r="C213" s="310" t="s">
        <v>31</v>
      </c>
      <c r="D213" s="324">
        <v>4</v>
      </c>
      <c r="E213" s="324">
        <v>406.52</v>
      </c>
      <c r="F213" s="324">
        <v>1626.08</v>
      </c>
      <c r="G213" s="124">
        <v>0</v>
      </c>
      <c r="H213" s="124">
        <v>0</v>
      </c>
      <c r="I213" s="121">
        <f t="shared" si="95"/>
        <v>0</v>
      </c>
      <c r="J213" s="124">
        <f t="shared" si="96"/>
        <v>0</v>
      </c>
      <c r="K213" s="124">
        <f t="shared" si="97"/>
        <v>0</v>
      </c>
      <c r="L213" s="121">
        <f t="shared" si="98"/>
        <v>0</v>
      </c>
      <c r="M213" s="129">
        <f t="shared" si="90"/>
        <v>0</v>
      </c>
      <c r="N213" s="179">
        <f t="shared" si="94"/>
        <v>4</v>
      </c>
    </row>
    <row r="214" spans="1:14" s="141" customFormat="1" ht="39.6" x14ac:dyDescent="0.25">
      <c r="A214" s="130" t="s">
        <v>784</v>
      </c>
      <c r="B214" s="309" t="s">
        <v>373</v>
      </c>
      <c r="C214" s="310" t="s">
        <v>31</v>
      </c>
      <c r="D214" s="324">
        <v>5</v>
      </c>
      <c r="E214" s="324">
        <v>97.03</v>
      </c>
      <c r="F214" s="324">
        <v>485.15</v>
      </c>
      <c r="G214" s="124">
        <v>0</v>
      </c>
      <c r="H214" s="124">
        <v>0</v>
      </c>
      <c r="I214" s="121">
        <f t="shared" si="95"/>
        <v>0</v>
      </c>
      <c r="J214" s="124">
        <f t="shared" si="96"/>
        <v>0</v>
      </c>
      <c r="K214" s="124">
        <f t="shared" si="97"/>
        <v>0</v>
      </c>
      <c r="L214" s="121">
        <f t="shared" si="98"/>
        <v>0</v>
      </c>
      <c r="M214" s="129">
        <f t="shared" si="90"/>
        <v>0</v>
      </c>
      <c r="N214" s="179">
        <f t="shared" si="94"/>
        <v>5</v>
      </c>
    </row>
    <row r="215" spans="1:14" s="141" customFormat="1" ht="39.6" x14ac:dyDescent="0.25">
      <c r="A215" s="130" t="s">
        <v>785</v>
      </c>
      <c r="B215" s="309" t="s">
        <v>371</v>
      </c>
      <c r="C215" s="310" t="s">
        <v>31</v>
      </c>
      <c r="D215" s="324">
        <v>2</v>
      </c>
      <c r="E215" s="324">
        <v>406.52</v>
      </c>
      <c r="F215" s="324">
        <v>813.04</v>
      </c>
      <c r="G215" s="124">
        <v>0</v>
      </c>
      <c r="H215" s="124">
        <v>0</v>
      </c>
      <c r="I215" s="121">
        <f t="shared" si="95"/>
        <v>0</v>
      </c>
      <c r="J215" s="124">
        <f t="shared" si="96"/>
        <v>0</v>
      </c>
      <c r="K215" s="124">
        <f t="shared" si="97"/>
        <v>0</v>
      </c>
      <c r="L215" s="121">
        <f t="shared" si="98"/>
        <v>0</v>
      </c>
      <c r="M215" s="129">
        <f t="shared" si="90"/>
        <v>0</v>
      </c>
      <c r="N215" s="179">
        <f t="shared" si="94"/>
        <v>2</v>
      </c>
    </row>
    <row r="216" spans="1:14" s="141" customFormat="1" x14ac:dyDescent="0.25">
      <c r="A216" s="130" t="s">
        <v>786</v>
      </c>
      <c r="B216" s="309" t="s">
        <v>375</v>
      </c>
      <c r="C216" s="310" t="s">
        <v>31</v>
      </c>
      <c r="D216" s="324">
        <v>1</v>
      </c>
      <c r="E216" s="324">
        <v>145.71</v>
      </c>
      <c r="F216" s="324">
        <v>145.71</v>
      </c>
      <c r="G216" s="124">
        <v>0</v>
      </c>
      <c r="H216" s="124">
        <v>0</v>
      </c>
      <c r="I216" s="121">
        <f t="shared" si="95"/>
        <v>0</v>
      </c>
      <c r="J216" s="124">
        <f t="shared" si="96"/>
        <v>0</v>
      </c>
      <c r="K216" s="124">
        <f t="shared" si="97"/>
        <v>0</v>
      </c>
      <c r="L216" s="121">
        <f t="shared" si="98"/>
        <v>0</v>
      </c>
      <c r="M216" s="129">
        <f t="shared" ref="M216:M230" si="99">L216/F216</f>
        <v>0</v>
      </c>
      <c r="N216" s="179">
        <f t="shared" si="94"/>
        <v>1</v>
      </c>
    </row>
    <row r="217" spans="1:14" s="141" customFormat="1" x14ac:dyDescent="0.25">
      <c r="A217" s="130" t="s">
        <v>787</v>
      </c>
      <c r="B217" s="309" t="s">
        <v>377</v>
      </c>
      <c r="C217" s="310" t="s">
        <v>365</v>
      </c>
      <c r="D217" s="324">
        <v>1</v>
      </c>
      <c r="E217" s="324">
        <v>105.88</v>
      </c>
      <c r="F217" s="324">
        <v>105.88</v>
      </c>
      <c r="G217" s="124">
        <v>0</v>
      </c>
      <c r="H217" s="124">
        <v>0</v>
      </c>
      <c r="I217" s="121">
        <f t="shared" si="95"/>
        <v>0</v>
      </c>
      <c r="J217" s="124">
        <f t="shared" si="96"/>
        <v>0</v>
      </c>
      <c r="K217" s="124">
        <f t="shared" si="97"/>
        <v>0</v>
      </c>
      <c r="L217" s="121">
        <f t="shared" si="98"/>
        <v>0</v>
      </c>
      <c r="M217" s="129">
        <f t="shared" si="99"/>
        <v>0</v>
      </c>
      <c r="N217" s="179">
        <f t="shared" si="94"/>
        <v>1</v>
      </c>
    </row>
    <row r="218" spans="1:14" s="141" customFormat="1" ht="26.4" x14ac:dyDescent="0.25">
      <c r="A218" s="130" t="s">
        <v>788</v>
      </c>
      <c r="B218" s="309" t="s">
        <v>379</v>
      </c>
      <c r="C218" s="310" t="s">
        <v>31</v>
      </c>
      <c r="D218" s="324">
        <v>5</v>
      </c>
      <c r="E218" s="324">
        <v>106.67</v>
      </c>
      <c r="F218" s="327">
        <v>533.35</v>
      </c>
      <c r="G218" s="124">
        <v>0</v>
      </c>
      <c r="H218" s="124">
        <v>0</v>
      </c>
      <c r="I218" s="121">
        <f t="shared" si="95"/>
        <v>0</v>
      </c>
      <c r="J218" s="124">
        <f t="shared" si="96"/>
        <v>0</v>
      </c>
      <c r="K218" s="124">
        <f t="shared" si="97"/>
        <v>0</v>
      </c>
      <c r="L218" s="121">
        <f t="shared" si="98"/>
        <v>0</v>
      </c>
      <c r="M218" s="129">
        <f t="shared" si="99"/>
        <v>0</v>
      </c>
      <c r="N218" s="179">
        <f t="shared" si="94"/>
        <v>5</v>
      </c>
    </row>
    <row r="219" spans="1:14" s="141" customFormat="1" ht="47.25" customHeight="1" x14ac:dyDescent="0.25">
      <c r="A219" s="143">
        <v>15</v>
      </c>
      <c r="B219" s="319" t="s">
        <v>381</v>
      </c>
      <c r="C219" s="144"/>
      <c r="D219" s="340"/>
      <c r="E219" s="340"/>
      <c r="F219" s="346">
        <f>SUM(F220:F230)</f>
        <v>3188.84</v>
      </c>
      <c r="G219" s="145"/>
      <c r="H219" s="145"/>
      <c r="I219" s="145"/>
      <c r="J219" s="146">
        <f>SUM(J220:J230)</f>
        <v>0</v>
      </c>
      <c r="K219" s="146">
        <f>SUM(K220:K230)</f>
        <v>0</v>
      </c>
      <c r="L219" s="146"/>
      <c r="M219" s="314">
        <f>L219/F219</f>
        <v>0</v>
      </c>
    </row>
    <row r="220" spans="1:14" s="141" customFormat="1" ht="39.6" x14ac:dyDescent="0.25">
      <c r="A220" s="130" t="s">
        <v>789</v>
      </c>
      <c r="B220" s="309" t="s">
        <v>383</v>
      </c>
      <c r="C220" s="310" t="s">
        <v>50</v>
      </c>
      <c r="D220" s="324">
        <v>0.8</v>
      </c>
      <c r="E220" s="324">
        <v>395.49</v>
      </c>
      <c r="F220" s="324">
        <v>316.39</v>
      </c>
      <c r="G220" s="124">
        <v>0</v>
      </c>
      <c r="H220" s="124">
        <v>0</v>
      </c>
      <c r="I220" s="121">
        <f t="shared" ref="I220:I230" si="100">G220+H220</f>
        <v>0</v>
      </c>
      <c r="J220" s="124">
        <f t="shared" ref="J220:J230" si="101">TRUNC(E220*G220,2)</f>
        <v>0</v>
      </c>
      <c r="K220" s="124">
        <f t="shared" ref="K220:K230" si="102">TRUNC(E220*H220,2)</f>
        <v>0</v>
      </c>
      <c r="L220" s="121">
        <f t="shared" ref="L220:L230" si="103">J220+K220</f>
        <v>0</v>
      </c>
      <c r="M220" s="129">
        <f t="shared" si="99"/>
        <v>0</v>
      </c>
      <c r="N220" s="179">
        <f t="shared" ref="N220:N230" si="104">D220-I220</f>
        <v>0.8</v>
      </c>
    </row>
    <row r="221" spans="1:14" s="141" customFormat="1" ht="39.6" x14ac:dyDescent="0.25">
      <c r="A221" s="130" t="s">
        <v>790</v>
      </c>
      <c r="B221" s="309" t="s">
        <v>385</v>
      </c>
      <c r="C221" s="310" t="s">
        <v>24</v>
      </c>
      <c r="D221" s="324">
        <v>0.16</v>
      </c>
      <c r="E221" s="324">
        <v>817.23</v>
      </c>
      <c r="F221" s="324">
        <v>130.75</v>
      </c>
      <c r="G221" s="124">
        <v>0</v>
      </c>
      <c r="H221" s="124">
        <v>0</v>
      </c>
      <c r="I221" s="121">
        <f t="shared" si="100"/>
        <v>0</v>
      </c>
      <c r="J221" s="124">
        <f t="shared" si="101"/>
        <v>0</v>
      </c>
      <c r="K221" s="124">
        <f t="shared" si="102"/>
        <v>0</v>
      </c>
      <c r="L221" s="121">
        <f t="shared" si="103"/>
        <v>0</v>
      </c>
      <c r="M221" s="129">
        <f t="shared" si="99"/>
        <v>0</v>
      </c>
      <c r="N221" s="179">
        <f t="shared" si="104"/>
        <v>0.16</v>
      </c>
    </row>
    <row r="222" spans="1:14" s="141" customFormat="1" ht="52.8" x14ac:dyDescent="0.25">
      <c r="A222" s="130" t="s">
        <v>791</v>
      </c>
      <c r="B222" s="309" t="s">
        <v>387</v>
      </c>
      <c r="C222" s="310" t="s">
        <v>116</v>
      </c>
      <c r="D222" s="324">
        <v>7.2</v>
      </c>
      <c r="E222" s="324">
        <v>35.03</v>
      </c>
      <c r="F222" s="324">
        <v>252.21</v>
      </c>
      <c r="G222" s="124">
        <v>0</v>
      </c>
      <c r="H222" s="124">
        <v>0</v>
      </c>
      <c r="I222" s="121">
        <f t="shared" si="100"/>
        <v>0</v>
      </c>
      <c r="J222" s="124">
        <f t="shared" si="101"/>
        <v>0</v>
      </c>
      <c r="K222" s="124">
        <f t="shared" si="102"/>
        <v>0</v>
      </c>
      <c r="L222" s="121">
        <f t="shared" si="103"/>
        <v>0</v>
      </c>
      <c r="M222" s="129">
        <f t="shared" si="99"/>
        <v>0</v>
      </c>
      <c r="N222" s="179">
        <f t="shared" si="104"/>
        <v>7.2</v>
      </c>
    </row>
    <row r="223" spans="1:14" s="141" customFormat="1" ht="39.6" x14ac:dyDescent="0.25">
      <c r="A223" s="130" t="s">
        <v>792</v>
      </c>
      <c r="B223" s="309" t="s">
        <v>389</v>
      </c>
      <c r="C223" s="310" t="s">
        <v>31</v>
      </c>
      <c r="D223" s="324">
        <v>2</v>
      </c>
      <c r="E223" s="324">
        <v>12.3</v>
      </c>
      <c r="F223" s="324">
        <v>24.6</v>
      </c>
      <c r="G223" s="124">
        <v>0</v>
      </c>
      <c r="H223" s="124">
        <v>0</v>
      </c>
      <c r="I223" s="121">
        <f t="shared" si="100"/>
        <v>0</v>
      </c>
      <c r="J223" s="124">
        <f t="shared" si="101"/>
        <v>0</v>
      </c>
      <c r="K223" s="124">
        <f t="shared" si="102"/>
        <v>0</v>
      </c>
      <c r="L223" s="121">
        <f t="shared" si="103"/>
        <v>0</v>
      </c>
      <c r="M223" s="129">
        <f t="shared" si="99"/>
        <v>0</v>
      </c>
      <c r="N223" s="179">
        <f t="shared" si="104"/>
        <v>2</v>
      </c>
    </row>
    <row r="224" spans="1:14" s="141" customFormat="1" x14ac:dyDescent="0.25">
      <c r="A224" s="130" t="s">
        <v>793</v>
      </c>
      <c r="B224" s="309" t="s">
        <v>391</v>
      </c>
      <c r="C224" s="310" t="s">
        <v>31</v>
      </c>
      <c r="D224" s="324">
        <v>4</v>
      </c>
      <c r="E224" s="324">
        <v>104.88</v>
      </c>
      <c r="F224" s="324">
        <v>419.52</v>
      </c>
      <c r="G224" s="124">
        <v>0</v>
      </c>
      <c r="H224" s="124">
        <v>0</v>
      </c>
      <c r="I224" s="121">
        <f t="shared" si="100"/>
        <v>0</v>
      </c>
      <c r="J224" s="124">
        <f t="shared" si="101"/>
        <v>0</v>
      </c>
      <c r="K224" s="124">
        <f t="shared" si="102"/>
        <v>0</v>
      </c>
      <c r="L224" s="121">
        <f t="shared" si="103"/>
        <v>0</v>
      </c>
      <c r="M224" s="129">
        <f t="shared" si="99"/>
        <v>0</v>
      </c>
      <c r="N224" s="179">
        <f t="shared" si="104"/>
        <v>4</v>
      </c>
    </row>
    <row r="225" spans="1:14" s="141" customFormat="1" ht="26.4" x14ac:dyDescent="0.25">
      <c r="A225" s="130" t="s">
        <v>794</v>
      </c>
      <c r="B225" s="309" t="s">
        <v>393</v>
      </c>
      <c r="C225" s="310" t="s">
        <v>116</v>
      </c>
      <c r="D225" s="324">
        <v>7.28</v>
      </c>
      <c r="E225" s="324">
        <v>16.850000000000001</v>
      </c>
      <c r="F225" s="324">
        <v>122.66</v>
      </c>
      <c r="G225" s="124">
        <v>0</v>
      </c>
      <c r="H225" s="124">
        <v>0</v>
      </c>
      <c r="I225" s="121">
        <f t="shared" si="100"/>
        <v>0</v>
      </c>
      <c r="J225" s="124">
        <f t="shared" si="101"/>
        <v>0</v>
      </c>
      <c r="K225" s="124">
        <f t="shared" si="102"/>
        <v>0</v>
      </c>
      <c r="L225" s="121">
        <f t="shared" si="103"/>
        <v>0</v>
      </c>
      <c r="M225" s="129">
        <f t="shared" si="99"/>
        <v>0</v>
      </c>
      <c r="N225" s="179">
        <f t="shared" si="104"/>
        <v>7.28</v>
      </c>
    </row>
    <row r="226" spans="1:14" s="141" customFormat="1" ht="26.4" x14ac:dyDescent="0.25">
      <c r="A226" s="130" t="s">
        <v>795</v>
      </c>
      <c r="B226" s="309" t="s">
        <v>395</v>
      </c>
      <c r="C226" s="310" t="s">
        <v>31</v>
      </c>
      <c r="D226" s="324">
        <v>1</v>
      </c>
      <c r="E226" s="324">
        <v>132.91999999999999</v>
      </c>
      <c r="F226" s="324">
        <v>132.91999999999999</v>
      </c>
      <c r="G226" s="124">
        <v>0</v>
      </c>
      <c r="H226" s="124">
        <v>0</v>
      </c>
      <c r="I226" s="121">
        <f t="shared" si="100"/>
        <v>0</v>
      </c>
      <c r="J226" s="124">
        <f t="shared" si="101"/>
        <v>0</v>
      </c>
      <c r="K226" s="124">
        <f t="shared" si="102"/>
        <v>0</v>
      </c>
      <c r="L226" s="121">
        <f t="shared" si="103"/>
        <v>0</v>
      </c>
      <c r="M226" s="129">
        <f t="shared" si="99"/>
        <v>0</v>
      </c>
      <c r="N226" s="179">
        <f t="shared" si="104"/>
        <v>1</v>
      </c>
    </row>
    <row r="227" spans="1:14" s="141" customFormat="1" x14ac:dyDescent="0.25">
      <c r="A227" s="130" t="s">
        <v>796</v>
      </c>
      <c r="B227" s="309" t="s">
        <v>397</v>
      </c>
      <c r="C227" s="310" t="s">
        <v>365</v>
      </c>
      <c r="D227" s="324">
        <v>2</v>
      </c>
      <c r="E227" s="324">
        <v>50.77</v>
      </c>
      <c r="F227" s="324">
        <v>101.54</v>
      </c>
      <c r="G227" s="124">
        <v>0</v>
      </c>
      <c r="H227" s="124">
        <v>0</v>
      </c>
      <c r="I227" s="121">
        <f t="shared" si="100"/>
        <v>0</v>
      </c>
      <c r="J227" s="124">
        <f t="shared" si="101"/>
        <v>0</v>
      </c>
      <c r="K227" s="124">
        <f t="shared" si="102"/>
        <v>0</v>
      </c>
      <c r="L227" s="121">
        <f t="shared" si="103"/>
        <v>0</v>
      </c>
      <c r="M227" s="129">
        <f t="shared" si="99"/>
        <v>0</v>
      </c>
      <c r="N227" s="179">
        <f t="shared" si="104"/>
        <v>2</v>
      </c>
    </row>
    <row r="228" spans="1:14" s="141" customFormat="1" ht="26.4" x14ac:dyDescent="0.25">
      <c r="A228" s="130" t="s">
        <v>797</v>
      </c>
      <c r="B228" s="309" t="s">
        <v>399</v>
      </c>
      <c r="C228" s="310" t="s">
        <v>31</v>
      </c>
      <c r="D228" s="324">
        <v>1</v>
      </c>
      <c r="E228" s="324">
        <v>1511.87</v>
      </c>
      <c r="F228" s="324">
        <v>1511.87</v>
      </c>
      <c r="G228" s="124">
        <v>0</v>
      </c>
      <c r="H228" s="124">
        <v>0</v>
      </c>
      <c r="I228" s="121">
        <f t="shared" si="100"/>
        <v>0</v>
      </c>
      <c r="J228" s="124">
        <f t="shared" si="101"/>
        <v>0</v>
      </c>
      <c r="K228" s="124">
        <f t="shared" si="102"/>
        <v>0</v>
      </c>
      <c r="L228" s="121">
        <f t="shared" si="103"/>
        <v>0</v>
      </c>
      <c r="M228" s="129">
        <f t="shared" si="99"/>
        <v>0</v>
      </c>
      <c r="N228" s="179">
        <f t="shared" si="104"/>
        <v>1</v>
      </c>
    </row>
    <row r="229" spans="1:14" s="141" customFormat="1" ht="26.4" x14ac:dyDescent="0.25">
      <c r="A229" s="130" t="s">
        <v>798</v>
      </c>
      <c r="B229" s="309" t="s">
        <v>401</v>
      </c>
      <c r="C229" s="310" t="s">
        <v>31</v>
      </c>
      <c r="D229" s="324">
        <v>1</v>
      </c>
      <c r="E229" s="324">
        <v>88.19</v>
      </c>
      <c r="F229" s="324">
        <v>88.19</v>
      </c>
      <c r="G229" s="124">
        <v>0</v>
      </c>
      <c r="H229" s="124">
        <v>0</v>
      </c>
      <c r="I229" s="121">
        <f t="shared" si="100"/>
        <v>0</v>
      </c>
      <c r="J229" s="124">
        <f t="shared" si="101"/>
        <v>0</v>
      </c>
      <c r="K229" s="124">
        <f t="shared" si="102"/>
        <v>0</v>
      </c>
      <c r="L229" s="121">
        <f t="shared" si="103"/>
        <v>0</v>
      </c>
      <c r="M229" s="129">
        <f t="shared" si="99"/>
        <v>0</v>
      </c>
      <c r="N229" s="179">
        <f t="shared" si="104"/>
        <v>1</v>
      </c>
    </row>
    <row r="230" spans="1:14" s="141" customFormat="1" ht="26.4" x14ac:dyDescent="0.25">
      <c r="A230" s="130" t="s">
        <v>799</v>
      </c>
      <c r="B230" s="309" t="s">
        <v>403</v>
      </c>
      <c r="C230" s="310" t="s">
        <v>31</v>
      </c>
      <c r="D230" s="324">
        <v>1</v>
      </c>
      <c r="E230" s="324">
        <v>88.19</v>
      </c>
      <c r="F230" s="324">
        <v>88.19</v>
      </c>
      <c r="G230" s="124">
        <v>0</v>
      </c>
      <c r="H230" s="124">
        <v>0</v>
      </c>
      <c r="I230" s="121">
        <f t="shared" si="100"/>
        <v>0</v>
      </c>
      <c r="J230" s="124">
        <f t="shared" si="101"/>
        <v>0</v>
      </c>
      <c r="K230" s="124">
        <f t="shared" si="102"/>
        <v>0</v>
      </c>
      <c r="L230" s="121">
        <f t="shared" si="103"/>
        <v>0</v>
      </c>
      <c r="M230" s="129">
        <f t="shared" si="99"/>
        <v>0</v>
      </c>
      <c r="N230" s="179">
        <f t="shared" si="104"/>
        <v>1</v>
      </c>
    </row>
    <row r="231" spans="1:14" ht="43.5" customHeight="1" x14ac:dyDescent="0.25">
      <c r="A231" s="131">
        <v>16</v>
      </c>
      <c r="B231" s="313" t="s">
        <v>405</v>
      </c>
      <c r="C231" s="132"/>
      <c r="D231" s="333"/>
      <c r="E231" s="333"/>
      <c r="F231" s="334">
        <f>SUM(F232:F235)</f>
        <v>2202.83</v>
      </c>
      <c r="G231" s="128"/>
      <c r="H231" s="128"/>
      <c r="I231" s="128"/>
      <c r="J231" s="117">
        <f>J232+J233+J234+J235</f>
        <v>0</v>
      </c>
      <c r="K231" s="117">
        <f>K232+K233+K234+K235</f>
        <v>0</v>
      </c>
      <c r="L231" s="117"/>
      <c r="M231" s="314">
        <f>L231/F231</f>
        <v>0</v>
      </c>
    </row>
    <row r="232" spans="1:14" s="141" customFormat="1" ht="39.6" x14ac:dyDescent="0.25">
      <c r="A232" s="130" t="s">
        <v>800</v>
      </c>
      <c r="B232" s="309" t="s">
        <v>407</v>
      </c>
      <c r="C232" s="310" t="s">
        <v>31</v>
      </c>
      <c r="D232" s="324">
        <v>5</v>
      </c>
      <c r="E232" s="324">
        <v>289.45</v>
      </c>
      <c r="F232" s="324">
        <v>1447.25</v>
      </c>
      <c r="G232" s="124">
        <v>0</v>
      </c>
      <c r="H232" s="124">
        <v>0</v>
      </c>
      <c r="I232" s="121">
        <f t="shared" ref="I232:I251" si="105">G232+H232</f>
        <v>0</v>
      </c>
      <c r="J232" s="124">
        <f t="shared" ref="J232:J251" si="106">TRUNC(E232*G232,2)</f>
        <v>0</v>
      </c>
      <c r="K232" s="124">
        <f t="shared" ref="K232:K251" si="107">TRUNC(E232*H232,2)</f>
        <v>0</v>
      </c>
      <c r="L232" s="121">
        <f t="shared" ref="L232:L251" si="108">J232+K232</f>
        <v>0</v>
      </c>
      <c r="M232" s="129">
        <f t="shared" ref="M232:M251" si="109">L232/F232</f>
        <v>0</v>
      </c>
      <c r="N232" s="179">
        <f t="shared" ref="N232:N235" si="110">D232-I232</f>
        <v>5</v>
      </c>
    </row>
    <row r="233" spans="1:14" s="141" customFormat="1" ht="26.4" x14ac:dyDescent="0.25">
      <c r="A233" s="130" t="s">
        <v>801</v>
      </c>
      <c r="B233" s="309" t="s">
        <v>409</v>
      </c>
      <c r="C233" s="310" t="s">
        <v>31</v>
      </c>
      <c r="D233" s="324">
        <v>16</v>
      </c>
      <c r="E233" s="324">
        <v>22.69</v>
      </c>
      <c r="F233" s="324">
        <v>363.04</v>
      </c>
      <c r="G233" s="124">
        <v>0</v>
      </c>
      <c r="H233" s="124">
        <v>0</v>
      </c>
      <c r="I233" s="121">
        <f t="shared" si="105"/>
        <v>0</v>
      </c>
      <c r="J233" s="124">
        <f t="shared" si="106"/>
        <v>0</v>
      </c>
      <c r="K233" s="124">
        <f t="shared" si="107"/>
        <v>0</v>
      </c>
      <c r="L233" s="121">
        <f t="shared" si="108"/>
        <v>0</v>
      </c>
      <c r="M233" s="129">
        <f t="shared" si="109"/>
        <v>0</v>
      </c>
      <c r="N233" s="179">
        <f t="shared" si="110"/>
        <v>16</v>
      </c>
    </row>
    <row r="234" spans="1:14" s="141" customFormat="1" ht="26.4" x14ac:dyDescent="0.25">
      <c r="A234" s="130" t="s">
        <v>802</v>
      </c>
      <c r="B234" s="309" t="s">
        <v>411</v>
      </c>
      <c r="C234" s="310" t="s">
        <v>24</v>
      </c>
      <c r="D234" s="324">
        <v>5</v>
      </c>
      <c r="E234" s="324">
        <v>26.26</v>
      </c>
      <c r="F234" s="324">
        <v>131.30000000000001</v>
      </c>
      <c r="G234" s="124">
        <v>0</v>
      </c>
      <c r="H234" s="124">
        <v>0</v>
      </c>
      <c r="I234" s="121">
        <f t="shared" si="105"/>
        <v>0</v>
      </c>
      <c r="J234" s="124">
        <f t="shared" si="106"/>
        <v>0</v>
      </c>
      <c r="K234" s="124">
        <f t="shared" si="107"/>
        <v>0</v>
      </c>
      <c r="L234" s="121">
        <f t="shared" si="108"/>
        <v>0</v>
      </c>
      <c r="M234" s="129">
        <f t="shared" si="109"/>
        <v>0</v>
      </c>
      <c r="N234" s="179">
        <f t="shared" si="110"/>
        <v>5</v>
      </c>
    </row>
    <row r="235" spans="1:14" s="141" customFormat="1" x14ac:dyDescent="0.25">
      <c r="A235" s="130" t="s">
        <v>803</v>
      </c>
      <c r="B235" s="309" t="s">
        <v>413</v>
      </c>
      <c r="C235" s="310" t="s">
        <v>365</v>
      </c>
      <c r="D235" s="324">
        <v>21</v>
      </c>
      <c r="E235" s="324">
        <v>12.44</v>
      </c>
      <c r="F235" s="327">
        <v>261.24</v>
      </c>
      <c r="G235" s="124">
        <v>0</v>
      </c>
      <c r="H235" s="124">
        <v>0</v>
      </c>
      <c r="I235" s="121">
        <f t="shared" si="105"/>
        <v>0</v>
      </c>
      <c r="J235" s="124">
        <f t="shared" si="106"/>
        <v>0</v>
      </c>
      <c r="K235" s="124">
        <f t="shared" si="107"/>
        <v>0</v>
      </c>
      <c r="L235" s="121">
        <f t="shared" si="108"/>
        <v>0</v>
      </c>
      <c r="M235" s="129">
        <f t="shared" si="109"/>
        <v>0</v>
      </c>
      <c r="N235" s="179">
        <f t="shared" si="110"/>
        <v>21</v>
      </c>
    </row>
    <row r="236" spans="1:14" s="141" customFormat="1" ht="26.25" customHeight="1" x14ac:dyDescent="0.25">
      <c r="A236" s="143">
        <v>17</v>
      </c>
      <c r="B236" s="319" t="s">
        <v>415</v>
      </c>
      <c r="C236" s="149"/>
      <c r="D236" s="349"/>
      <c r="E236" s="349"/>
      <c r="F236" s="350">
        <f>F237+F252+F266+F275</f>
        <v>60978.92</v>
      </c>
      <c r="G236" s="150"/>
      <c r="H236" s="150"/>
      <c r="I236" s="150"/>
      <c r="J236" s="150"/>
      <c r="K236" s="150"/>
      <c r="L236" s="150"/>
      <c r="M236" s="314">
        <f>L236/F236</f>
        <v>0</v>
      </c>
    </row>
    <row r="237" spans="1:14" s="141" customFormat="1" ht="32.25" customHeight="1" x14ac:dyDescent="0.25">
      <c r="A237" s="133" t="s">
        <v>935</v>
      </c>
      <c r="B237" s="317" t="s">
        <v>417</v>
      </c>
      <c r="C237" s="142"/>
      <c r="D237" s="347"/>
      <c r="E237" s="347"/>
      <c r="F237" s="348">
        <f>SUM(F238:F251)</f>
        <v>4457.68</v>
      </c>
      <c r="G237" s="137"/>
      <c r="H237" s="137"/>
      <c r="I237" s="137"/>
      <c r="J237" s="137">
        <f>SUM(J238:J251)</f>
        <v>0</v>
      </c>
      <c r="K237" s="137">
        <f>SUM(K238:K251)</f>
        <v>0</v>
      </c>
      <c r="L237" s="137"/>
      <c r="M237" s="139">
        <f>L237/F237</f>
        <v>0</v>
      </c>
    </row>
    <row r="238" spans="1:14" s="141" customFormat="1" ht="52.8" x14ac:dyDescent="0.25">
      <c r="A238" s="130" t="s">
        <v>804</v>
      </c>
      <c r="B238" s="309" t="s">
        <v>419</v>
      </c>
      <c r="C238" s="310" t="s">
        <v>31</v>
      </c>
      <c r="D238" s="324">
        <v>2</v>
      </c>
      <c r="E238" s="324">
        <v>324.69</v>
      </c>
      <c r="F238" s="324">
        <v>649.38</v>
      </c>
      <c r="G238" s="124">
        <v>0</v>
      </c>
      <c r="H238" s="124">
        <v>0</v>
      </c>
      <c r="I238" s="121">
        <f t="shared" si="105"/>
        <v>0</v>
      </c>
      <c r="J238" s="124">
        <f t="shared" si="106"/>
        <v>0</v>
      </c>
      <c r="K238" s="124">
        <f t="shared" si="107"/>
        <v>0</v>
      </c>
      <c r="L238" s="121">
        <f t="shared" si="108"/>
        <v>0</v>
      </c>
      <c r="M238" s="129">
        <f t="shared" si="109"/>
        <v>0</v>
      </c>
      <c r="N238" s="179">
        <f t="shared" ref="N238:N251" si="111">D238-I238</f>
        <v>2</v>
      </c>
    </row>
    <row r="239" spans="1:14" s="141" customFormat="1" ht="52.8" x14ac:dyDescent="0.25">
      <c r="A239" s="130" t="s">
        <v>805</v>
      </c>
      <c r="B239" s="309" t="s">
        <v>421</v>
      </c>
      <c r="C239" s="310" t="s">
        <v>31</v>
      </c>
      <c r="D239" s="324">
        <v>1</v>
      </c>
      <c r="E239" s="324">
        <v>447.68</v>
      </c>
      <c r="F239" s="324">
        <v>447.68</v>
      </c>
      <c r="G239" s="124">
        <v>0</v>
      </c>
      <c r="H239" s="124">
        <v>0</v>
      </c>
      <c r="I239" s="121">
        <f t="shared" si="105"/>
        <v>0</v>
      </c>
      <c r="J239" s="124">
        <f t="shared" si="106"/>
        <v>0</v>
      </c>
      <c r="K239" s="124">
        <f t="shared" si="107"/>
        <v>0</v>
      </c>
      <c r="L239" s="121">
        <f t="shared" si="108"/>
        <v>0</v>
      </c>
      <c r="M239" s="129">
        <f t="shared" si="109"/>
        <v>0</v>
      </c>
      <c r="N239" s="179">
        <f t="shared" si="111"/>
        <v>1</v>
      </c>
    </row>
    <row r="240" spans="1:14" s="141" customFormat="1" ht="52.8" x14ac:dyDescent="0.25">
      <c r="A240" s="130" t="s">
        <v>806</v>
      </c>
      <c r="B240" s="309" t="s">
        <v>423</v>
      </c>
      <c r="C240" s="310" t="s">
        <v>31</v>
      </c>
      <c r="D240" s="324">
        <v>1</v>
      </c>
      <c r="E240" s="324">
        <v>89.08</v>
      </c>
      <c r="F240" s="324">
        <v>89.08</v>
      </c>
      <c r="G240" s="124">
        <v>0</v>
      </c>
      <c r="H240" s="124">
        <v>0</v>
      </c>
      <c r="I240" s="121">
        <f t="shared" si="105"/>
        <v>0</v>
      </c>
      <c r="J240" s="124">
        <f t="shared" si="106"/>
        <v>0</v>
      </c>
      <c r="K240" s="124">
        <f t="shared" si="107"/>
        <v>0</v>
      </c>
      <c r="L240" s="121">
        <f t="shared" si="108"/>
        <v>0</v>
      </c>
      <c r="M240" s="129">
        <f t="shared" si="109"/>
        <v>0</v>
      </c>
      <c r="N240" s="179">
        <f t="shared" si="111"/>
        <v>1</v>
      </c>
    </row>
    <row r="241" spans="1:14" s="141" customFormat="1" x14ac:dyDescent="0.25">
      <c r="A241" s="130" t="s">
        <v>807</v>
      </c>
      <c r="B241" s="309" t="s">
        <v>425</v>
      </c>
      <c r="C241" s="310" t="s">
        <v>31</v>
      </c>
      <c r="D241" s="324">
        <v>1</v>
      </c>
      <c r="E241" s="324">
        <v>89.04</v>
      </c>
      <c r="F241" s="324">
        <v>89.04</v>
      </c>
      <c r="G241" s="124">
        <v>0</v>
      </c>
      <c r="H241" s="124">
        <v>0</v>
      </c>
      <c r="I241" s="121">
        <f t="shared" si="105"/>
        <v>0</v>
      </c>
      <c r="J241" s="124">
        <f t="shared" si="106"/>
        <v>0</v>
      </c>
      <c r="K241" s="124">
        <f t="shared" si="107"/>
        <v>0</v>
      </c>
      <c r="L241" s="121">
        <f t="shared" si="108"/>
        <v>0</v>
      </c>
      <c r="M241" s="129">
        <f t="shared" si="109"/>
        <v>0</v>
      </c>
      <c r="N241" s="179">
        <f t="shared" si="111"/>
        <v>1</v>
      </c>
    </row>
    <row r="242" spans="1:14" s="141" customFormat="1" ht="39.6" x14ac:dyDescent="0.25">
      <c r="A242" s="130" t="s">
        <v>808</v>
      </c>
      <c r="B242" s="309" t="s">
        <v>427</v>
      </c>
      <c r="C242" s="310" t="s">
        <v>365</v>
      </c>
      <c r="D242" s="324">
        <v>6</v>
      </c>
      <c r="E242" s="324">
        <v>16.649999999999999</v>
      </c>
      <c r="F242" s="324">
        <v>99.9</v>
      </c>
      <c r="G242" s="124">
        <v>0</v>
      </c>
      <c r="H242" s="124">
        <v>0</v>
      </c>
      <c r="I242" s="121">
        <f t="shared" si="105"/>
        <v>0</v>
      </c>
      <c r="J242" s="124">
        <f t="shared" si="106"/>
        <v>0</v>
      </c>
      <c r="K242" s="124">
        <f t="shared" si="107"/>
        <v>0</v>
      </c>
      <c r="L242" s="121">
        <f t="shared" si="108"/>
        <v>0</v>
      </c>
      <c r="M242" s="129">
        <f t="shared" si="109"/>
        <v>0</v>
      </c>
      <c r="N242" s="179">
        <f t="shared" si="111"/>
        <v>6</v>
      </c>
    </row>
    <row r="243" spans="1:14" s="141" customFormat="1" ht="39.6" x14ac:dyDescent="0.25">
      <c r="A243" s="130" t="s">
        <v>809</v>
      </c>
      <c r="B243" s="309" t="s">
        <v>429</v>
      </c>
      <c r="C243" s="310" t="s">
        <v>365</v>
      </c>
      <c r="D243" s="324">
        <v>1</v>
      </c>
      <c r="E243" s="324">
        <v>17.920000000000002</v>
      </c>
      <c r="F243" s="324">
        <v>17.920000000000002</v>
      </c>
      <c r="G243" s="124">
        <v>0</v>
      </c>
      <c r="H243" s="124">
        <v>0</v>
      </c>
      <c r="I243" s="121">
        <f t="shared" si="105"/>
        <v>0</v>
      </c>
      <c r="J243" s="124">
        <f t="shared" si="106"/>
        <v>0</v>
      </c>
      <c r="K243" s="124">
        <f t="shared" si="107"/>
        <v>0</v>
      </c>
      <c r="L243" s="121">
        <f t="shared" si="108"/>
        <v>0</v>
      </c>
      <c r="M243" s="129">
        <f t="shared" si="109"/>
        <v>0</v>
      </c>
      <c r="N243" s="179">
        <f t="shared" si="111"/>
        <v>1</v>
      </c>
    </row>
    <row r="244" spans="1:14" s="141" customFormat="1" ht="26.4" x14ac:dyDescent="0.25">
      <c r="A244" s="130" t="s">
        <v>810</v>
      </c>
      <c r="B244" s="309" t="s">
        <v>431</v>
      </c>
      <c r="C244" s="310" t="s">
        <v>365</v>
      </c>
      <c r="D244" s="324">
        <v>2</v>
      </c>
      <c r="E244" s="324">
        <v>19.440000000000001</v>
      </c>
      <c r="F244" s="324">
        <v>38.880000000000003</v>
      </c>
      <c r="G244" s="124">
        <v>0</v>
      </c>
      <c r="H244" s="124">
        <v>0</v>
      </c>
      <c r="I244" s="121">
        <f t="shared" si="105"/>
        <v>0</v>
      </c>
      <c r="J244" s="124">
        <f t="shared" si="106"/>
        <v>0</v>
      </c>
      <c r="K244" s="124">
        <f t="shared" si="107"/>
        <v>0</v>
      </c>
      <c r="L244" s="121">
        <f t="shared" si="108"/>
        <v>0</v>
      </c>
      <c r="M244" s="129">
        <f t="shared" si="109"/>
        <v>0</v>
      </c>
      <c r="N244" s="179">
        <f t="shared" si="111"/>
        <v>2</v>
      </c>
    </row>
    <row r="245" spans="1:14" s="141" customFormat="1" ht="26.4" x14ac:dyDescent="0.25">
      <c r="A245" s="130" t="s">
        <v>811</v>
      </c>
      <c r="B245" s="309" t="s">
        <v>433</v>
      </c>
      <c r="C245" s="310" t="s">
        <v>31</v>
      </c>
      <c r="D245" s="324">
        <v>4</v>
      </c>
      <c r="E245" s="324">
        <v>103.87</v>
      </c>
      <c r="F245" s="324">
        <v>415.48</v>
      </c>
      <c r="G245" s="124">
        <v>0</v>
      </c>
      <c r="H245" s="124">
        <v>0</v>
      </c>
      <c r="I245" s="121">
        <f t="shared" si="105"/>
        <v>0</v>
      </c>
      <c r="J245" s="124">
        <f t="shared" si="106"/>
        <v>0</v>
      </c>
      <c r="K245" s="124">
        <f t="shared" si="107"/>
        <v>0</v>
      </c>
      <c r="L245" s="121">
        <f t="shared" si="108"/>
        <v>0</v>
      </c>
      <c r="M245" s="129">
        <f t="shared" si="109"/>
        <v>0</v>
      </c>
      <c r="N245" s="179">
        <f t="shared" si="111"/>
        <v>4</v>
      </c>
    </row>
    <row r="246" spans="1:14" s="141" customFormat="1" x14ac:dyDescent="0.25">
      <c r="A246" s="130" t="s">
        <v>812</v>
      </c>
      <c r="B246" s="309" t="s">
        <v>435</v>
      </c>
      <c r="C246" s="310" t="s">
        <v>365</v>
      </c>
      <c r="D246" s="324">
        <v>23</v>
      </c>
      <c r="E246" s="324">
        <v>45.54</v>
      </c>
      <c r="F246" s="324">
        <v>1047.42</v>
      </c>
      <c r="G246" s="124">
        <v>0</v>
      </c>
      <c r="H246" s="124">
        <v>0</v>
      </c>
      <c r="I246" s="121">
        <f t="shared" si="105"/>
        <v>0</v>
      </c>
      <c r="J246" s="124">
        <f t="shared" si="106"/>
        <v>0</v>
      </c>
      <c r="K246" s="124">
        <f t="shared" si="107"/>
        <v>0</v>
      </c>
      <c r="L246" s="121">
        <f t="shared" si="108"/>
        <v>0</v>
      </c>
      <c r="M246" s="129">
        <f t="shared" si="109"/>
        <v>0</v>
      </c>
      <c r="N246" s="179">
        <f t="shared" si="111"/>
        <v>23</v>
      </c>
    </row>
    <row r="247" spans="1:14" s="141" customFormat="1" x14ac:dyDescent="0.25">
      <c r="A247" s="130" t="s">
        <v>813</v>
      </c>
      <c r="B247" s="309" t="s">
        <v>437</v>
      </c>
      <c r="C247" s="310" t="s">
        <v>365</v>
      </c>
      <c r="D247" s="324">
        <v>5</v>
      </c>
      <c r="E247" s="324">
        <v>66.47</v>
      </c>
      <c r="F247" s="324">
        <v>332.35</v>
      </c>
      <c r="G247" s="124">
        <v>0</v>
      </c>
      <c r="H247" s="124">
        <v>0</v>
      </c>
      <c r="I247" s="121">
        <f t="shared" si="105"/>
        <v>0</v>
      </c>
      <c r="J247" s="124">
        <f t="shared" si="106"/>
        <v>0</v>
      </c>
      <c r="K247" s="124">
        <f t="shared" si="107"/>
        <v>0</v>
      </c>
      <c r="L247" s="121">
        <f t="shared" si="108"/>
        <v>0</v>
      </c>
      <c r="M247" s="129">
        <f t="shared" si="109"/>
        <v>0</v>
      </c>
      <c r="N247" s="179">
        <f t="shared" si="111"/>
        <v>5</v>
      </c>
    </row>
    <row r="248" spans="1:14" s="141" customFormat="1" x14ac:dyDescent="0.25">
      <c r="A248" s="130" t="s">
        <v>814</v>
      </c>
      <c r="B248" s="309" t="s">
        <v>435</v>
      </c>
      <c r="C248" s="310" t="s">
        <v>365</v>
      </c>
      <c r="D248" s="324">
        <v>11</v>
      </c>
      <c r="E248" s="324">
        <v>45.54</v>
      </c>
      <c r="F248" s="324">
        <v>500.94</v>
      </c>
      <c r="G248" s="124">
        <v>0</v>
      </c>
      <c r="H248" s="124">
        <v>0</v>
      </c>
      <c r="I248" s="121">
        <f t="shared" si="105"/>
        <v>0</v>
      </c>
      <c r="J248" s="124">
        <f t="shared" si="106"/>
        <v>0</v>
      </c>
      <c r="K248" s="124">
        <f t="shared" si="107"/>
        <v>0</v>
      </c>
      <c r="L248" s="121">
        <f t="shared" si="108"/>
        <v>0</v>
      </c>
      <c r="M248" s="129">
        <f t="shared" si="109"/>
        <v>0</v>
      </c>
      <c r="N248" s="179">
        <f t="shared" si="111"/>
        <v>11</v>
      </c>
    </row>
    <row r="249" spans="1:14" s="141" customFormat="1" x14ac:dyDescent="0.25">
      <c r="A249" s="130" t="s">
        <v>815</v>
      </c>
      <c r="B249" s="309" t="s">
        <v>437</v>
      </c>
      <c r="C249" s="310" t="s">
        <v>365</v>
      </c>
      <c r="D249" s="324">
        <v>2</v>
      </c>
      <c r="E249" s="324">
        <v>66.47</v>
      </c>
      <c r="F249" s="324">
        <v>132.94</v>
      </c>
      <c r="G249" s="124">
        <v>0</v>
      </c>
      <c r="H249" s="124">
        <v>0</v>
      </c>
      <c r="I249" s="121">
        <f t="shared" si="105"/>
        <v>0</v>
      </c>
      <c r="J249" s="124">
        <f t="shared" si="106"/>
        <v>0</v>
      </c>
      <c r="K249" s="124">
        <f t="shared" si="107"/>
        <v>0</v>
      </c>
      <c r="L249" s="121">
        <f t="shared" si="108"/>
        <v>0</v>
      </c>
      <c r="M249" s="129">
        <f t="shared" si="109"/>
        <v>0</v>
      </c>
      <c r="N249" s="179">
        <f t="shared" si="111"/>
        <v>2</v>
      </c>
    </row>
    <row r="250" spans="1:14" s="141" customFormat="1" ht="26.4" x14ac:dyDescent="0.25">
      <c r="A250" s="130" t="s">
        <v>816</v>
      </c>
      <c r="B250" s="309" t="s">
        <v>439</v>
      </c>
      <c r="C250" s="310" t="s">
        <v>365</v>
      </c>
      <c r="D250" s="324">
        <v>1</v>
      </c>
      <c r="E250" s="324">
        <v>69.959999999999994</v>
      </c>
      <c r="F250" s="324">
        <v>69.959999999999994</v>
      </c>
      <c r="G250" s="124">
        <v>0</v>
      </c>
      <c r="H250" s="124">
        <v>0</v>
      </c>
      <c r="I250" s="121">
        <f t="shared" si="105"/>
        <v>0</v>
      </c>
      <c r="J250" s="124">
        <f t="shared" si="106"/>
        <v>0</v>
      </c>
      <c r="K250" s="124">
        <f t="shared" si="107"/>
        <v>0</v>
      </c>
      <c r="L250" s="121">
        <f t="shared" si="108"/>
        <v>0</v>
      </c>
      <c r="M250" s="129">
        <f t="shared" si="109"/>
        <v>0</v>
      </c>
      <c r="N250" s="179">
        <f t="shared" si="111"/>
        <v>1</v>
      </c>
    </row>
    <row r="251" spans="1:14" s="141" customFormat="1" ht="39.6" x14ac:dyDescent="0.25">
      <c r="A251" s="130" t="s">
        <v>817</v>
      </c>
      <c r="B251" s="309" t="s">
        <v>441</v>
      </c>
      <c r="C251" s="310" t="s">
        <v>31</v>
      </c>
      <c r="D251" s="324">
        <v>1</v>
      </c>
      <c r="E251" s="324">
        <v>526.71</v>
      </c>
      <c r="F251" s="324">
        <v>526.71</v>
      </c>
      <c r="G251" s="124">
        <v>0</v>
      </c>
      <c r="H251" s="124">
        <v>0</v>
      </c>
      <c r="I251" s="121">
        <f t="shared" si="105"/>
        <v>0</v>
      </c>
      <c r="J251" s="124">
        <f t="shared" si="106"/>
        <v>0</v>
      </c>
      <c r="K251" s="124">
        <f t="shared" si="107"/>
        <v>0</v>
      </c>
      <c r="L251" s="121">
        <f t="shared" si="108"/>
        <v>0</v>
      </c>
      <c r="M251" s="129">
        <f t="shared" si="109"/>
        <v>0</v>
      </c>
      <c r="N251" s="179">
        <f t="shared" si="111"/>
        <v>1</v>
      </c>
    </row>
    <row r="252" spans="1:14" ht="49.5" customHeight="1" x14ac:dyDescent="0.25">
      <c r="A252" s="133" t="s">
        <v>936</v>
      </c>
      <c r="B252" s="317" t="s">
        <v>443</v>
      </c>
      <c r="C252" s="134"/>
      <c r="D252" s="335"/>
      <c r="E252" s="335"/>
      <c r="F252" s="342">
        <f>SUM(F253:F265)</f>
        <v>20395.739999999998</v>
      </c>
      <c r="G252" s="136"/>
      <c r="H252" s="136"/>
      <c r="I252" s="136"/>
      <c r="J252" s="138">
        <f>SUM(J253:J265)</f>
        <v>0</v>
      </c>
      <c r="K252" s="138">
        <f>SUM(K253:K265)</f>
        <v>0</v>
      </c>
      <c r="L252" s="138"/>
      <c r="M252" s="139">
        <f>L252/F252</f>
        <v>0</v>
      </c>
    </row>
    <row r="253" spans="1:14" s="141" customFormat="1" ht="39.6" x14ac:dyDescent="0.25">
      <c r="A253" s="130" t="s">
        <v>818</v>
      </c>
      <c r="B253" s="309" t="s">
        <v>445</v>
      </c>
      <c r="C253" s="310" t="s">
        <v>116</v>
      </c>
      <c r="D253" s="324">
        <v>593.29999999999995</v>
      </c>
      <c r="E253" s="324">
        <v>7.82</v>
      </c>
      <c r="F253" s="324">
        <v>4639.6000000000004</v>
      </c>
      <c r="G253" s="124">
        <v>0</v>
      </c>
      <c r="H253" s="124">
        <v>0</v>
      </c>
      <c r="I253" s="121">
        <f t="shared" ref="I253:I265" si="112">G253+H253</f>
        <v>0</v>
      </c>
      <c r="J253" s="124">
        <f t="shared" ref="J253:J265" si="113">TRUNC(E253*G253,2)</f>
        <v>0</v>
      </c>
      <c r="K253" s="124">
        <f t="shared" ref="K253:K265" si="114">TRUNC(E253*H253,2)</f>
        <v>0</v>
      </c>
      <c r="L253" s="121">
        <f t="shared" ref="L253:L265" si="115">J253+K253</f>
        <v>0</v>
      </c>
      <c r="M253" s="129">
        <f t="shared" ref="M253:M265" si="116">L253/F253</f>
        <v>0</v>
      </c>
      <c r="N253" s="179">
        <f t="shared" ref="N253:N265" si="117">D253-I253</f>
        <v>593.29999999999995</v>
      </c>
    </row>
    <row r="254" spans="1:14" s="141" customFormat="1" ht="39.6" x14ac:dyDescent="0.25">
      <c r="A254" s="130" t="s">
        <v>819</v>
      </c>
      <c r="B254" s="309" t="s">
        <v>447</v>
      </c>
      <c r="C254" s="310" t="s">
        <v>116</v>
      </c>
      <c r="D254" s="324">
        <v>199.5</v>
      </c>
      <c r="E254" s="324">
        <v>10.14</v>
      </c>
      <c r="F254" s="324">
        <v>2022.93</v>
      </c>
      <c r="G254" s="124">
        <v>0</v>
      </c>
      <c r="H254" s="124">
        <v>0</v>
      </c>
      <c r="I254" s="121">
        <f t="shared" si="112"/>
        <v>0</v>
      </c>
      <c r="J254" s="124">
        <f t="shared" si="113"/>
        <v>0</v>
      </c>
      <c r="K254" s="124">
        <f t="shared" si="114"/>
        <v>0</v>
      </c>
      <c r="L254" s="121">
        <f t="shared" si="115"/>
        <v>0</v>
      </c>
      <c r="M254" s="129">
        <f t="shared" si="116"/>
        <v>0</v>
      </c>
      <c r="N254" s="179">
        <f t="shared" si="117"/>
        <v>199.5</v>
      </c>
    </row>
    <row r="255" spans="1:14" s="141" customFormat="1" ht="39.6" x14ac:dyDescent="0.25">
      <c r="A255" s="130" t="s">
        <v>820</v>
      </c>
      <c r="B255" s="309" t="s">
        <v>449</v>
      </c>
      <c r="C255" s="310" t="s">
        <v>116</v>
      </c>
      <c r="D255" s="324">
        <v>159.5</v>
      </c>
      <c r="E255" s="324">
        <v>15.88</v>
      </c>
      <c r="F255" s="324">
        <v>2532.86</v>
      </c>
      <c r="G255" s="124">
        <v>0</v>
      </c>
      <c r="H255" s="124">
        <v>0</v>
      </c>
      <c r="I255" s="121">
        <f t="shared" si="112"/>
        <v>0</v>
      </c>
      <c r="J255" s="124">
        <f t="shared" si="113"/>
        <v>0</v>
      </c>
      <c r="K255" s="124">
        <f t="shared" si="114"/>
        <v>0</v>
      </c>
      <c r="L255" s="121">
        <f t="shared" si="115"/>
        <v>0</v>
      </c>
      <c r="M255" s="129">
        <f t="shared" si="116"/>
        <v>0</v>
      </c>
      <c r="N255" s="179">
        <f t="shared" si="117"/>
        <v>159.5</v>
      </c>
    </row>
    <row r="256" spans="1:14" s="141" customFormat="1" ht="39.6" x14ac:dyDescent="0.25">
      <c r="A256" s="130" t="s">
        <v>821</v>
      </c>
      <c r="B256" s="309" t="s">
        <v>451</v>
      </c>
      <c r="C256" s="310" t="s">
        <v>116</v>
      </c>
      <c r="D256" s="324">
        <v>102.4</v>
      </c>
      <c r="E256" s="324">
        <v>23.73</v>
      </c>
      <c r="F256" s="324">
        <v>2429.9499999999998</v>
      </c>
      <c r="G256" s="124">
        <v>0</v>
      </c>
      <c r="H256" s="124">
        <v>0</v>
      </c>
      <c r="I256" s="121">
        <f t="shared" si="112"/>
        <v>0</v>
      </c>
      <c r="J256" s="124">
        <f t="shared" si="113"/>
        <v>0</v>
      </c>
      <c r="K256" s="124">
        <f t="shared" si="114"/>
        <v>0</v>
      </c>
      <c r="L256" s="121">
        <f t="shared" si="115"/>
        <v>0</v>
      </c>
      <c r="M256" s="129">
        <f t="shared" si="116"/>
        <v>0</v>
      </c>
      <c r="N256" s="179">
        <f t="shared" si="117"/>
        <v>102.4</v>
      </c>
    </row>
    <row r="257" spans="1:14" s="141" customFormat="1" ht="39.6" x14ac:dyDescent="0.25">
      <c r="A257" s="130" t="s">
        <v>822</v>
      </c>
      <c r="B257" s="309" t="s">
        <v>453</v>
      </c>
      <c r="C257" s="310" t="s">
        <v>116</v>
      </c>
      <c r="D257" s="324">
        <v>80</v>
      </c>
      <c r="E257" s="324">
        <v>40.799999999999997</v>
      </c>
      <c r="F257" s="324">
        <v>3264</v>
      </c>
      <c r="G257" s="124">
        <v>0</v>
      </c>
      <c r="H257" s="124">
        <v>0</v>
      </c>
      <c r="I257" s="121">
        <f t="shared" si="112"/>
        <v>0</v>
      </c>
      <c r="J257" s="124">
        <f t="shared" si="113"/>
        <v>0</v>
      </c>
      <c r="K257" s="124">
        <f t="shared" si="114"/>
        <v>0</v>
      </c>
      <c r="L257" s="121">
        <f t="shared" si="115"/>
        <v>0</v>
      </c>
      <c r="M257" s="129">
        <f t="shared" si="116"/>
        <v>0</v>
      </c>
      <c r="N257" s="179">
        <f t="shared" si="117"/>
        <v>80</v>
      </c>
    </row>
    <row r="258" spans="1:14" s="141" customFormat="1" ht="39.6" x14ac:dyDescent="0.25">
      <c r="A258" s="130" t="s">
        <v>823</v>
      </c>
      <c r="B258" s="309" t="s">
        <v>455</v>
      </c>
      <c r="C258" s="310" t="s">
        <v>31</v>
      </c>
      <c r="D258" s="324">
        <v>9</v>
      </c>
      <c r="E258" s="324">
        <v>34.1</v>
      </c>
      <c r="F258" s="324">
        <v>306.89999999999998</v>
      </c>
      <c r="G258" s="124">
        <v>0</v>
      </c>
      <c r="H258" s="124">
        <v>0</v>
      </c>
      <c r="I258" s="121">
        <f t="shared" si="112"/>
        <v>0</v>
      </c>
      <c r="J258" s="124">
        <f t="shared" si="113"/>
        <v>0</v>
      </c>
      <c r="K258" s="124">
        <f t="shared" si="114"/>
        <v>0</v>
      </c>
      <c r="L258" s="121">
        <f t="shared" si="115"/>
        <v>0</v>
      </c>
      <c r="M258" s="129">
        <f t="shared" si="116"/>
        <v>0</v>
      </c>
      <c r="N258" s="179">
        <f t="shared" si="117"/>
        <v>9</v>
      </c>
    </row>
    <row r="259" spans="1:14" s="141" customFormat="1" ht="39.6" x14ac:dyDescent="0.25">
      <c r="A259" s="130" t="s">
        <v>824</v>
      </c>
      <c r="B259" s="309" t="s">
        <v>389</v>
      </c>
      <c r="C259" s="310" t="s">
        <v>31</v>
      </c>
      <c r="D259" s="324">
        <v>2</v>
      </c>
      <c r="E259" s="324">
        <v>12.3</v>
      </c>
      <c r="F259" s="324">
        <v>24.6</v>
      </c>
      <c r="G259" s="124">
        <v>0</v>
      </c>
      <c r="H259" s="124">
        <v>0</v>
      </c>
      <c r="I259" s="121">
        <f t="shared" si="112"/>
        <v>0</v>
      </c>
      <c r="J259" s="124">
        <f t="shared" si="113"/>
        <v>0</v>
      </c>
      <c r="K259" s="124">
        <f t="shared" si="114"/>
        <v>0</v>
      </c>
      <c r="L259" s="121">
        <f t="shared" si="115"/>
        <v>0</v>
      </c>
      <c r="M259" s="129">
        <f t="shared" si="116"/>
        <v>0</v>
      </c>
      <c r="N259" s="179">
        <f t="shared" si="117"/>
        <v>2</v>
      </c>
    </row>
    <row r="260" spans="1:14" s="141" customFormat="1" ht="26.4" x14ac:dyDescent="0.25">
      <c r="A260" s="130" t="s">
        <v>825</v>
      </c>
      <c r="B260" s="309" t="s">
        <v>457</v>
      </c>
      <c r="C260" s="310" t="s">
        <v>31</v>
      </c>
      <c r="D260" s="324">
        <v>9</v>
      </c>
      <c r="E260" s="324">
        <v>189.3</v>
      </c>
      <c r="F260" s="324">
        <v>1703.7</v>
      </c>
      <c r="G260" s="124">
        <v>0</v>
      </c>
      <c r="H260" s="124">
        <v>0</v>
      </c>
      <c r="I260" s="121">
        <f t="shared" si="112"/>
        <v>0</v>
      </c>
      <c r="J260" s="124">
        <f t="shared" si="113"/>
        <v>0</v>
      </c>
      <c r="K260" s="124">
        <f t="shared" si="114"/>
        <v>0</v>
      </c>
      <c r="L260" s="121">
        <f t="shared" si="115"/>
        <v>0</v>
      </c>
      <c r="M260" s="129">
        <f t="shared" si="116"/>
        <v>0</v>
      </c>
      <c r="N260" s="179">
        <f t="shared" si="117"/>
        <v>9</v>
      </c>
    </row>
    <row r="261" spans="1:14" s="141" customFormat="1" ht="26.4" x14ac:dyDescent="0.25">
      <c r="A261" s="130" t="s">
        <v>826</v>
      </c>
      <c r="B261" s="309" t="s">
        <v>459</v>
      </c>
      <c r="C261" s="310" t="s">
        <v>31</v>
      </c>
      <c r="D261" s="324">
        <v>5</v>
      </c>
      <c r="E261" s="324">
        <v>189.3</v>
      </c>
      <c r="F261" s="324">
        <v>946.5</v>
      </c>
      <c r="G261" s="124">
        <v>0</v>
      </c>
      <c r="H261" s="124">
        <v>0</v>
      </c>
      <c r="I261" s="121">
        <f t="shared" si="112"/>
        <v>0</v>
      </c>
      <c r="J261" s="124">
        <f t="shared" si="113"/>
        <v>0</v>
      </c>
      <c r="K261" s="124">
        <f t="shared" si="114"/>
        <v>0</v>
      </c>
      <c r="L261" s="121">
        <f t="shared" si="115"/>
        <v>0</v>
      </c>
      <c r="M261" s="129">
        <f t="shared" si="116"/>
        <v>0</v>
      </c>
      <c r="N261" s="179">
        <f t="shared" si="117"/>
        <v>5</v>
      </c>
    </row>
    <row r="262" spans="1:14" s="141" customFormat="1" ht="39.6" x14ac:dyDescent="0.25">
      <c r="A262" s="130" t="s">
        <v>827</v>
      </c>
      <c r="B262" s="309" t="s">
        <v>461</v>
      </c>
      <c r="C262" s="310" t="s">
        <v>31</v>
      </c>
      <c r="D262" s="325">
        <v>5</v>
      </c>
      <c r="E262" s="325">
        <v>9.82</v>
      </c>
      <c r="F262" s="325">
        <v>49.1</v>
      </c>
      <c r="G262" s="124">
        <v>0</v>
      </c>
      <c r="H262" s="124">
        <v>0</v>
      </c>
      <c r="I262" s="121">
        <f t="shared" si="112"/>
        <v>0</v>
      </c>
      <c r="J262" s="124">
        <f t="shared" si="113"/>
        <v>0</v>
      </c>
      <c r="K262" s="124">
        <f t="shared" si="114"/>
        <v>0</v>
      </c>
      <c r="L262" s="121">
        <f t="shared" si="115"/>
        <v>0</v>
      </c>
      <c r="M262" s="129">
        <f t="shared" si="116"/>
        <v>0</v>
      </c>
      <c r="N262" s="179">
        <f t="shared" si="117"/>
        <v>5</v>
      </c>
    </row>
    <row r="263" spans="1:14" s="141" customFormat="1" ht="39.6" x14ac:dyDescent="0.25">
      <c r="A263" s="130" t="s">
        <v>828</v>
      </c>
      <c r="B263" s="309" t="s">
        <v>463</v>
      </c>
      <c r="C263" s="310" t="s">
        <v>31</v>
      </c>
      <c r="D263" s="326">
        <v>88</v>
      </c>
      <c r="E263" s="326">
        <v>8.2899999999999991</v>
      </c>
      <c r="F263" s="326">
        <v>729.52</v>
      </c>
      <c r="G263" s="124">
        <v>0</v>
      </c>
      <c r="H263" s="124">
        <v>0</v>
      </c>
      <c r="I263" s="121">
        <f t="shared" si="112"/>
        <v>0</v>
      </c>
      <c r="J263" s="124">
        <f t="shared" si="113"/>
        <v>0</v>
      </c>
      <c r="K263" s="124">
        <f t="shared" si="114"/>
        <v>0</v>
      </c>
      <c r="L263" s="121">
        <f t="shared" si="115"/>
        <v>0</v>
      </c>
      <c r="M263" s="129">
        <f t="shared" si="116"/>
        <v>0</v>
      </c>
      <c r="N263" s="179">
        <f t="shared" si="117"/>
        <v>88</v>
      </c>
    </row>
    <row r="264" spans="1:14" s="141" customFormat="1" ht="26.4" x14ac:dyDescent="0.25">
      <c r="A264" s="130" t="s">
        <v>829</v>
      </c>
      <c r="B264" s="309" t="s">
        <v>465</v>
      </c>
      <c r="C264" s="310" t="s">
        <v>31</v>
      </c>
      <c r="D264" s="324">
        <v>147</v>
      </c>
      <c r="E264" s="324">
        <v>11.08</v>
      </c>
      <c r="F264" s="324">
        <v>1628.76</v>
      </c>
      <c r="G264" s="124">
        <v>0</v>
      </c>
      <c r="H264" s="124">
        <v>0</v>
      </c>
      <c r="I264" s="121">
        <f t="shared" si="112"/>
        <v>0</v>
      </c>
      <c r="J264" s="124">
        <f t="shared" si="113"/>
        <v>0</v>
      </c>
      <c r="K264" s="124">
        <f t="shared" si="114"/>
        <v>0</v>
      </c>
      <c r="L264" s="121">
        <f t="shared" si="115"/>
        <v>0</v>
      </c>
      <c r="M264" s="129">
        <f t="shared" si="116"/>
        <v>0</v>
      </c>
      <c r="N264" s="179">
        <f t="shared" si="117"/>
        <v>147</v>
      </c>
    </row>
    <row r="265" spans="1:14" s="141" customFormat="1" x14ac:dyDescent="0.25">
      <c r="A265" s="130" t="s">
        <v>830</v>
      </c>
      <c r="B265" s="309" t="s">
        <v>467</v>
      </c>
      <c r="C265" s="310" t="s">
        <v>116</v>
      </c>
      <c r="D265" s="324">
        <v>2</v>
      </c>
      <c r="E265" s="324">
        <v>58.66</v>
      </c>
      <c r="F265" s="327">
        <v>117.32</v>
      </c>
      <c r="G265" s="124">
        <v>0</v>
      </c>
      <c r="H265" s="124">
        <v>0</v>
      </c>
      <c r="I265" s="121">
        <f t="shared" si="112"/>
        <v>0</v>
      </c>
      <c r="J265" s="124">
        <f t="shared" si="113"/>
        <v>0</v>
      </c>
      <c r="K265" s="124">
        <f t="shared" si="114"/>
        <v>0</v>
      </c>
      <c r="L265" s="121">
        <f t="shared" si="115"/>
        <v>0</v>
      </c>
      <c r="M265" s="129">
        <f t="shared" si="116"/>
        <v>0</v>
      </c>
      <c r="N265" s="179">
        <f t="shared" si="117"/>
        <v>2</v>
      </c>
    </row>
    <row r="266" spans="1:14" s="141" customFormat="1" ht="24.75" customHeight="1" x14ac:dyDescent="0.25">
      <c r="A266" s="133" t="s">
        <v>937</v>
      </c>
      <c r="B266" s="317" t="s">
        <v>469</v>
      </c>
      <c r="C266" s="134"/>
      <c r="D266" s="335"/>
      <c r="E266" s="335"/>
      <c r="F266" s="338">
        <f>SUM(F267:F274)</f>
        <v>24117.040000000001</v>
      </c>
      <c r="G266" s="136"/>
      <c r="H266" s="136"/>
      <c r="I266" s="136"/>
      <c r="J266" s="138">
        <f>SUM(J267:J274)</f>
        <v>0</v>
      </c>
      <c r="K266" s="138">
        <f>SUM(K267:K274)</f>
        <v>0</v>
      </c>
      <c r="L266" s="138"/>
      <c r="M266" s="139">
        <f>L266/F266</f>
        <v>0</v>
      </c>
    </row>
    <row r="267" spans="1:14" s="141" customFormat="1" ht="39.6" x14ac:dyDescent="0.25">
      <c r="A267" s="130" t="s">
        <v>831</v>
      </c>
      <c r="B267" s="309" t="s">
        <v>471</v>
      </c>
      <c r="C267" s="310" t="s">
        <v>116</v>
      </c>
      <c r="D267" s="324">
        <v>1520</v>
      </c>
      <c r="E267" s="324">
        <v>2.41</v>
      </c>
      <c r="F267" s="324">
        <v>3663.2</v>
      </c>
      <c r="G267" s="124">
        <v>0</v>
      </c>
      <c r="H267" s="124">
        <v>0</v>
      </c>
      <c r="I267" s="121">
        <f t="shared" ref="I267:I274" si="118">G267+H267</f>
        <v>0</v>
      </c>
      <c r="J267" s="124">
        <f t="shared" ref="J267:J274" si="119">TRUNC(E267*G267,2)</f>
        <v>0</v>
      </c>
      <c r="K267" s="124">
        <f t="shared" ref="K267:K274" si="120">TRUNC(E267*H267,2)</f>
        <v>0</v>
      </c>
      <c r="L267" s="121">
        <f t="shared" ref="L267:L274" si="121">J267+K267</f>
        <v>0</v>
      </c>
      <c r="M267" s="129">
        <f t="shared" ref="M267:M286" si="122">L267/F267</f>
        <v>0</v>
      </c>
      <c r="N267" s="179">
        <f t="shared" ref="N267:N274" si="123">D267-I267</f>
        <v>1520</v>
      </c>
    </row>
    <row r="268" spans="1:14" s="141" customFormat="1" ht="39.6" x14ac:dyDescent="0.25">
      <c r="A268" s="130" t="s">
        <v>832</v>
      </c>
      <c r="B268" s="309" t="s">
        <v>473</v>
      </c>
      <c r="C268" s="310" t="s">
        <v>116</v>
      </c>
      <c r="D268" s="324">
        <v>2357.1999999999998</v>
      </c>
      <c r="E268" s="324">
        <v>3.52</v>
      </c>
      <c r="F268" s="324">
        <v>8297.34</v>
      </c>
      <c r="G268" s="124">
        <v>0</v>
      </c>
      <c r="H268" s="124">
        <v>0</v>
      </c>
      <c r="I268" s="121">
        <f t="shared" si="118"/>
        <v>0</v>
      </c>
      <c r="J268" s="124">
        <f t="shared" si="119"/>
        <v>0</v>
      </c>
      <c r="K268" s="124">
        <f t="shared" si="120"/>
        <v>0</v>
      </c>
      <c r="L268" s="121">
        <f t="shared" si="121"/>
        <v>0</v>
      </c>
      <c r="M268" s="129">
        <f t="shared" si="122"/>
        <v>0</v>
      </c>
      <c r="N268" s="179">
        <f t="shared" si="123"/>
        <v>2357.1999999999998</v>
      </c>
    </row>
    <row r="269" spans="1:14" s="141" customFormat="1" ht="39.6" x14ac:dyDescent="0.25">
      <c r="A269" s="130" t="s">
        <v>833</v>
      </c>
      <c r="B269" s="309" t="s">
        <v>475</v>
      </c>
      <c r="C269" s="310" t="s">
        <v>116</v>
      </c>
      <c r="D269" s="324">
        <v>56.8</v>
      </c>
      <c r="E269" s="324">
        <v>20.2</v>
      </c>
      <c r="F269" s="324">
        <v>1147.3599999999999</v>
      </c>
      <c r="G269" s="124">
        <v>0</v>
      </c>
      <c r="H269" s="124">
        <v>0</v>
      </c>
      <c r="I269" s="121">
        <f t="shared" si="118"/>
        <v>0</v>
      </c>
      <c r="J269" s="124">
        <f t="shared" si="119"/>
        <v>0</v>
      </c>
      <c r="K269" s="124">
        <f t="shared" si="120"/>
        <v>0</v>
      </c>
      <c r="L269" s="121">
        <f t="shared" si="121"/>
        <v>0</v>
      </c>
      <c r="M269" s="129">
        <f t="shared" si="122"/>
        <v>0</v>
      </c>
      <c r="N269" s="179">
        <f t="shared" si="123"/>
        <v>56.8</v>
      </c>
    </row>
    <row r="270" spans="1:14" s="141" customFormat="1" ht="39.6" x14ac:dyDescent="0.25">
      <c r="A270" s="130" t="s">
        <v>834</v>
      </c>
      <c r="B270" s="309" t="s">
        <v>477</v>
      </c>
      <c r="C270" s="310" t="s">
        <v>116</v>
      </c>
      <c r="D270" s="324">
        <v>113.6</v>
      </c>
      <c r="E270" s="324">
        <v>38.94</v>
      </c>
      <c r="F270" s="324">
        <v>4423.58</v>
      </c>
      <c r="G270" s="124">
        <v>0</v>
      </c>
      <c r="H270" s="124">
        <v>0</v>
      </c>
      <c r="I270" s="121">
        <f t="shared" si="118"/>
        <v>0</v>
      </c>
      <c r="J270" s="124">
        <f t="shared" si="119"/>
        <v>0</v>
      </c>
      <c r="K270" s="124">
        <f t="shared" si="120"/>
        <v>0</v>
      </c>
      <c r="L270" s="121">
        <f t="shared" si="121"/>
        <v>0</v>
      </c>
      <c r="M270" s="129">
        <f t="shared" si="122"/>
        <v>0</v>
      </c>
      <c r="N270" s="179">
        <f t="shared" si="123"/>
        <v>113.6</v>
      </c>
    </row>
    <row r="271" spans="1:14" s="141" customFormat="1" x14ac:dyDescent="0.25">
      <c r="A271" s="130" t="s">
        <v>835</v>
      </c>
      <c r="B271" s="309" t="s">
        <v>479</v>
      </c>
      <c r="C271" s="310" t="s">
        <v>116</v>
      </c>
      <c r="D271" s="324">
        <v>12.9</v>
      </c>
      <c r="E271" s="324">
        <v>60.23</v>
      </c>
      <c r="F271" s="324">
        <v>776.96</v>
      </c>
      <c r="G271" s="124">
        <v>0</v>
      </c>
      <c r="H271" s="124">
        <v>0</v>
      </c>
      <c r="I271" s="121">
        <f t="shared" si="118"/>
        <v>0</v>
      </c>
      <c r="J271" s="124">
        <f t="shared" si="119"/>
        <v>0</v>
      </c>
      <c r="K271" s="124">
        <f t="shared" si="120"/>
        <v>0</v>
      </c>
      <c r="L271" s="121">
        <f t="shared" si="121"/>
        <v>0</v>
      </c>
      <c r="M271" s="129">
        <f t="shared" si="122"/>
        <v>0</v>
      </c>
      <c r="N271" s="179">
        <f t="shared" si="123"/>
        <v>12.9</v>
      </c>
    </row>
    <row r="272" spans="1:14" s="141" customFormat="1" x14ac:dyDescent="0.25">
      <c r="A272" s="130" t="s">
        <v>836</v>
      </c>
      <c r="B272" s="309" t="s">
        <v>481</v>
      </c>
      <c r="C272" s="310" t="s">
        <v>116</v>
      </c>
      <c r="D272" s="324">
        <v>51.6</v>
      </c>
      <c r="E272" s="324">
        <v>95.55</v>
      </c>
      <c r="F272" s="324">
        <v>4930.38</v>
      </c>
      <c r="G272" s="124">
        <v>0</v>
      </c>
      <c r="H272" s="124">
        <v>0</v>
      </c>
      <c r="I272" s="121">
        <f t="shared" si="118"/>
        <v>0</v>
      </c>
      <c r="J272" s="124">
        <f t="shared" si="119"/>
        <v>0</v>
      </c>
      <c r="K272" s="124">
        <f t="shared" si="120"/>
        <v>0</v>
      </c>
      <c r="L272" s="121">
        <f t="shared" si="121"/>
        <v>0</v>
      </c>
      <c r="M272" s="129">
        <f t="shared" si="122"/>
        <v>0</v>
      </c>
      <c r="N272" s="179">
        <f t="shared" si="123"/>
        <v>51.6</v>
      </c>
    </row>
    <row r="273" spans="1:14" s="141" customFormat="1" ht="39.6" x14ac:dyDescent="0.25">
      <c r="A273" s="130" t="s">
        <v>837</v>
      </c>
      <c r="B273" s="309" t="s">
        <v>483</v>
      </c>
      <c r="C273" s="310" t="s">
        <v>116</v>
      </c>
      <c r="D273" s="324">
        <v>52.6</v>
      </c>
      <c r="E273" s="324">
        <v>6.71</v>
      </c>
      <c r="F273" s="324">
        <v>352.94</v>
      </c>
      <c r="G273" s="124">
        <v>0</v>
      </c>
      <c r="H273" s="124">
        <v>0</v>
      </c>
      <c r="I273" s="121">
        <f t="shared" si="118"/>
        <v>0</v>
      </c>
      <c r="J273" s="124">
        <f t="shared" si="119"/>
        <v>0</v>
      </c>
      <c r="K273" s="124">
        <f t="shared" si="120"/>
        <v>0</v>
      </c>
      <c r="L273" s="121">
        <f t="shared" si="121"/>
        <v>0</v>
      </c>
      <c r="M273" s="129">
        <f t="shared" si="122"/>
        <v>0</v>
      </c>
      <c r="N273" s="179">
        <f t="shared" si="123"/>
        <v>52.6</v>
      </c>
    </row>
    <row r="274" spans="1:14" s="141" customFormat="1" x14ac:dyDescent="0.25">
      <c r="A274" s="130" t="s">
        <v>838</v>
      </c>
      <c r="B274" s="309" t="s">
        <v>485</v>
      </c>
      <c r="C274" s="310" t="s">
        <v>116</v>
      </c>
      <c r="D274" s="324">
        <v>53.6</v>
      </c>
      <c r="E274" s="324">
        <v>9.8000000000000007</v>
      </c>
      <c r="F274" s="327">
        <v>525.28</v>
      </c>
      <c r="G274" s="124">
        <v>0</v>
      </c>
      <c r="H274" s="124">
        <v>0</v>
      </c>
      <c r="I274" s="121">
        <f t="shared" si="118"/>
        <v>0</v>
      </c>
      <c r="J274" s="124">
        <f t="shared" si="119"/>
        <v>0</v>
      </c>
      <c r="K274" s="124">
        <f t="shared" si="120"/>
        <v>0</v>
      </c>
      <c r="L274" s="121">
        <f t="shared" si="121"/>
        <v>0</v>
      </c>
      <c r="M274" s="129">
        <f t="shared" si="122"/>
        <v>0</v>
      </c>
      <c r="N274" s="179">
        <f t="shared" si="123"/>
        <v>53.6</v>
      </c>
    </row>
    <row r="275" spans="1:14" s="141" customFormat="1" ht="25.5" customHeight="1" x14ac:dyDescent="0.25">
      <c r="A275" s="133" t="s">
        <v>938</v>
      </c>
      <c r="B275" s="317" t="s">
        <v>487</v>
      </c>
      <c r="C275" s="134"/>
      <c r="D275" s="335"/>
      <c r="E275" s="335"/>
      <c r="F275" s="338">
        <f>SUM(F276:F286)</f>
        <v>12008.460000000001</v>
      </c>
      <c r="G275" s="136"/>
      <c r="H275" s="136"/>
      <c r="I275" s="136"/>
      <c r="J275" s="138">
        <f>SUM(J276:J286)</f>
        <v>0</v>
      </c>
      <c r="K275" s="138">
        <f>SUM(K276:K286)</f>
        <v>0</v>
      </c>
      <c r="L275" s="138">
        <f>SUM(L276:L276)</f>
        <v>0</v>
      </c>
      <c r="M275" s="139">
        <f t="shared" si="122"/>
        <v>0</v>
      </c>
    </row>
    <row r="276" spans="1:14" s="141" customFormat="1" ht="39.6" x14ac:dyDescent="0.25">
      <c r="A276" s="130" t="s">
        <v>839</v>
      </c>
      <c r="B276" s="309" t="s">
        <v>489</v>
      </c>
      <c r="C276" s="310" t="s">
        <v>31</v>
      </c>
      <c r="D276" s="324">
        <v>56</v>
      </c>
      <c r="E276" s="324">
        <v>24.84</v>
      </c>
      <c r="F276" s="324">
        <v>1391.04</v>
      </c>
      <c r="G276" s="124">
        <v>0</v>
      </c>
      <c r="H276" s="124">
        <v>0</v>
      </c>
      <c r="I276" s="121">
        <f t="shared" ref="I276:I286" si="124">G276+H276</f>
        <v>0</v>
      </c>
      <c r="J276" s="124">
        <f t="shared" ref="J276:J286" si="125">TRUNC(E276*G276,2)</f>
        <v>0</v>
      </c>
      <c r="K276" s="124">
        <f t="shared" ref="K276:K286" si="126">TRUNC(E276*H276,2)</f>
        <v>0</v>
      </c>
      <c r="L276" s="121">
        <f t="shared" ref="L276:L286" si="127">J276+K276</f>
        <v>0</v>
      </c>
      <c r="M276" s="129">
        <f t="shared" si="122"/>
        <v>0</v>
      </c>
      <c r="N276" s="179">
        <f t="shared" ref="N276:N286" si="128">D276-I276</f>
        <v>56</v>
      </c>
    </row>
    <row r="277" spans="1:14" s="141" customFormat="1" ht="39.6" x14ac:dyDescent="0.25">
      <c r="A277" s="130" t="s">
        <v>840</v>
      </c>
      <c r="B277" s="309" t="s">
        <v>491</v>
      </c>
      <c r="C277" s="310" t="s">
        <v>31</v>
      </c>
      <c r="D277" s="324">
        <v>4</v>
      </c>
      <c r="E277" s="324">
        <v>26.61</v>
      </c>
      <c r="F277" s="324">
        <v>106.44</v>
      </c>
      <c r="G277" s="124">
        <v>0</v>
      </c>
      <c r="H277" s="124">
        <v>0</v>
      </c>
      <c r="I277" s="121">
        <f t="shared" si="124"/>
        <v>0</v>
      </c>
      <c r="J277" s="124">
        <f t="shared" si="125"/>
        <v>0</v>
      </c>
      <c r="K277" s="124">
        <f t="shared" si="126"/>
        <v>0</v>
      </c>
      <c r="L277" s="121">
        <f t="shared" si="127"/>
        <v>0</v>
      </c>
      <c r="M277" s="129">
        <f t="shared" si="122"/>
        <v>0</v>
      </c>
      <c r="N277" s="179">
        <f t="shared" si="128"/>
        <v>4</v>
      </c>
    </row>
    <row r="278" spans="1:14" s="141" customFormat="1" ht="39.6" x14ac:dyDescent="0.25">
      <c r="A278" s="130" t="s">
        <v>841</v>
      </c>
      <c r="B278" s="309" t="s">
        <v>493</v>
      </c>
      <c r="C278" s="310" t="s">
        <v>31</v>
      </c>
      <c r="D278" s="324">
        <v>7</v>
      </c>
      <c r="E278" s="324">
        <v>23.68</v>
      </c>
      <c r="F278" s="324">
        <v>165.76</v>
      </c>
      <c r="G278" s="124">
        <v>0</v>
      </c>
      <c r="H278" s="124">
        <v>0</v>
      </c>
      <c r="I278" s="121">
        <f t="shared" si="124"/>
        <v>0</v>
      </c>
      <c r="J278" s="124">
        <f t="shared" si="125"/>
        <v>0</v>
      </c>
      <c r="K278" s="124">
        <f t="shared" si="126"/>
        <v>0</v>
      </c>
      <c r="L278" s="121">
        <f t="shared" si="127"/>
        <v>0</v>
      </c>
      <c r="M278" s="129">
        <f t="shared" si="122"/>
        <v>0</v>
      </c>
      <c r="N278" s="179">
        <f t="shared" si="128"/>
        <v>7</v>
      </c>
    </row>
    <row r="279" spans="1:14" s="141" customFormat="1" ht="39.6" x14ac:dyDescent="0.25">
      <c r="A279" s="130" t="s">
        <v>842</v>
      </c>
      <c r="B279" s="309" t="s">
        <v>495</v>
      </c>
      <c r="C279" s="310" t="s">
        <v>31</v>
      </c>
      <c r="D279" s="324">
        <v>1</v>
      </c>
      <c r="E279" s="324">
        <v>36.1</v>
      </c>
      <c r="F279" s="324">
        <v>36.1</v>
      </c>
      <c r="G279" s="124">
        <v>0</v>
      </c>
      <c r="H279" s="124">
        <v>0</v>
      </c>
      <c r="I279" s="121">
        <f t="shared" si="124"/>
        <v>0</v>
      </c>
      <c r="J279" s="124">
        <f t="shared" si="125"/>
        <v>0</v>
      </c>
      <c r="K279" s="124">
        <f t="shared" si="126"/>
        <v>0</v>
      </c>
      <c r="L279" s="121">
        <f t="shared" si="127"/>
        <v>0</v>
      </c>
      <c r="M279" s="129">
        <f t="shared" si="122"/>
        <v>0</v>
      </c>
      <c r="N279" s="179">
        <f t="shared" si="128"/>
        <v>1</v>
      </c>
    </row>
    <row r="280" spans="1:14" s="141" customFormat="1" ht="39.6" x14ac:dyDescent="0.25">
      <c r="A280" s="130" t="s">
        <v>843</v>
      </c>
      <c r="B280" s="309" t="s">
        <v>497</v>
      </c>
      <c r="C280" s="310" t="s">
        <v>31</v>
      </c>
      <c r="D280" s="324">
        <v>11</v>
      </c>
      <c r="E280" s="324">
        <v>48.52</v>
      </c>
      <c r="F280" s="324">
        <v>533.72</v>
      </c>
      <c r="G280" s="124">
        <v>0</v>
      </c>
      <c r="H280" s="124">
        <v>0</v>
      </c>
      <c r="I280" s="121">
        <f t="shared" si="124"/>
        <v>0</v>
      </c>
      <c r="J280" s="124">
        <f t="shared" si="125"/>
        <v>0</v>
      </c>
      <c r="K280" s="124">
        <f t="shared" si="126"/>
        <v>0</v>
      </c>
      <c r="L280" s="121">
        <f t="shared" si="127"/>
        <v>0</v>
      </c>
      <c r="M280" s="129">
        <f t="shared" si="122"/>
        <v>0</v>
      </c>
      <c r="N280" s="179">
        <f t="shared" si="128"/>
        <v>11</v>
      </c>
    </row>
    <row r="281" spans="1:14" s="141" customFormat="1" ht="39.6" x14ac:dyDescent="0.25">
      <c r="A281" s="130" t="s">
        <v>844</v>
      </c>
      <c r="B281" s="309" t="s">
        <v>499</v>
      </c>
      <c r="C281" s="310" t="s">
        <v>31</v>
      </c>
      <c r="D281" s="324">
        <v>3</v>
      </c>
      <c r="E281" s="324">
        <v>40.28</v>
      </c>
      <c r="F281" s="324">
        <v>120.84</v>
      </c>
      <c r="G281" s="124">
        <v>0</v>
      </c>
      <c r="H281" s="124">
        <v>0</v>
      </c>
      <c r="I281" s="121">
        <f t="shared" si="124"/>
        <v>0</v>
      </c>
      <c r="J281" s="124">
        <f t="shared" si="125"/>
        <v>0</v>
      </c>
      <c r="K281" s="124">
        <f t="shared" si="126"/>
        <v>0</v>
      </c>
      <c r="L281" s="121">
        <f t="shared" si="127"/>
        <v>0</v>
      </c>
      <c r="M281" s="129">
        <f t="shared" si="122"/>
        <v>0</v>
      </c>
      <c r="N281" s="179">
        <f t="shared" si="128"/>
        <v>3</v>
      </c>
    </row>
    <row r="282" spans="1:14" s="141" customFormat="1" x14ac:dyDescent="0.25">
      <c r="A282" s="130" t="s">
        <v>845</v>
      </c>
      <c r="B282" s="309" t="s">
        <v>501</v>
      </c>
      <c r="C282" s="310" t="s">
        <v>31</v>
      </c>
      <c r="D282" s="324">
        <v>7</v>
      </c>
      <c r="E282" s="324">
        <v>12.11</v>
      </c>
      <c r="F282" s="324">
        <v>84.77</v>
      </c>
      <c r="G282" s="124"/>
      <c r="H282" s="124"/>
      <c r="I282" s="121"/>
      <c r="J282" s="124"/>
      <c r="K282" s="124"/>
      <c r="L282" s="121"/>
      <c r="M282" s="129">
        <f t="shared" si="122"/>
        <v>0</v>
      </c>
      <c r="N282" s="179">
        <f t="shared" si="128"/>
        <v>7</v>
      </c>
    </row>
    <row r="283" spans="1:14" s="141" customFormat="1" x14ac:dyDescent="0.25">
      <c r="A283" s="130" t="s">
        <v>846</v>
      </c>
      <c r="B283" s="309" t="s">
        <v>503</v>
      </c>
      <c r="C283" s="310" t="s">
        <v>31</v>
      </c>
      <c r="D283" s="324">
        <v>74</v>
      </c>
      <c r="E283" s="324">
        <v>106.1</v>
      </c>
      <c r="F283" s="324">
        <v>7851.4</v>
      </c>
      <c r="G283" s="124">
        <v>0</v>
      </c>
      <c r="H283" s="124">
        <v>0</v>
      </c>
      <c r="I283" s="121">
        <f t="shared" si="124"/>
        <v>0</v>
      </c>
      <c r="J283" s="124">
        <f t="shared" si="125"/>
        <v>0</v>
      </c>
      <c r="K283" s="124">
        <f t="shared" si="126"/>
        <v>0</v>
      </c>
      <c r="L283" s="121">
        <f t="shared" si="127"/>
        <v>0</v>
      </c>
      <c r="M283" s="129">
        <f t="shared" si="122"/>
        <v>0</v>
      </c>
      <c r="N283" s="179">
        <f t="shared" si="128"/>
        <v>74</v>
      </c>
    </row>
    <row r="284" spans="1:14" s="141" customFormat="1" x14ac:dyDescent="0.25">
      <c r="A284" s="130" t="s">
        <v>847</v>
      </c>
      <c r="B284" s="309" t="s">
        <v>505</v>
      </c>
      <c r="C284" s="310" t="s">
        <v>31</v>
      </c>
      <c r="D284" s="324">
        <v>3</v>
      </c>
      <c r="E284" s="324">
        <v>94.79</v>
      </c>
      <c r="F284" s="324">
        <v>284.37</v>
      </c>
      <c r="G284" s="124">
        <v>0</v>
      </c>
      <c r="H284" s="124">
        <v>0</v>
      </c>
      <c r="I284" s="121">
        <f t="shared" si="124"/>
        <v>0</v>
      </c>
      <c r="J284" s="124">
        <f t="shared" si="125"/>
        <v>0</v>
      </c>
      <c r="K284" s="124">
        <f t="shared" si="126"/>
        <v>0</v>
      </c>
      <c r="L284" s="121">
        <f t="shared" si="127"/>
        <v>0</v>
      </c>
      <c r="M284" s="129">
        <f t="shared" si="122"/>
        <v>0</v>
      </c>
      <c r="N284" s="179">
        <f t="shared" si="128"/>
        <v>3</v>
      </c>
    </row>
    <row r="285" spans="1:14" s="141" customFormat="1" ht="26.4" x14ac:dyDescent="0.25">
      <c r="A285" s="130" t="s">
        <v>848</v>
      </c>
      <c r="B285" s="309" t="s">
        <v>507</v>
      </c>
      <c r="C285" s="310" t="s">
        <v>31</v>
      </c>
      <c r="D285" s="324">
        <v>3</v>
      </c>
      <c r="E285" s="324">
        <v>354.14</v>
      </c>
      <c r="F285" s="324">
        <v>1062.42</v>
      </c>
      <c r="G285" s="124">
        <v>0</v>
      </c>
      <c r="H285" s="124">
        <v>0</v>
      </c>
      <c r="I285" s="121">
        <f t="shared" si="124"/>
        <v>0</v>
      </c>
      <c r="J285" s="124">
        <f t="shared" si="125"/>
        <v>0</v>
      </c>
      <c r="K285" s="124">
        <f t="shared" si="126"/>
        <v>0</v>
      </c>
      <c r="L285" s="121">
        <f t="shared" si="127"/>
        <v>0</v>
      </c>
      <c r="M285" s="129">
        <f t="shared" si="122"/>
        <v>0</v>
      </c>
      <c r="N285" s="179">
        <f t="shared" si="128"/>
        <v>3</v>
      </c>
    </row>
    <row r="286" spans="1:14" s="141" customFormat="1" ht="26.4" x14ac:dyDescent="0.25">
      <c r="A286" s="130" t="s">
        <v>849</v>
      </c>
      <c r="B286" s="309" t="s">
        <v>509</v>
      </c>
      <c r="C286" s="310" t="s">
        <v>31</v>
      </c>
      <c r="D286" s="324">
        <v>10</v>
      </c>
      <c r="E286" s="324">
        <v>37.159999999999997</v>
      </c>
      <c r="F286" s="324">
        <v>371.6</v>
      </c>
      <c r="G286" s="124">
        <v>0</v>
      </c>
      <c r="H286" s="124">
        <v>0</v>
      </c>
      <c r="I286" s="121">
        <f t="shared" si="124"/>
        <v>0</v>
      </c>
      <c r="J286" s="124">
        <f t="shared" si="125"/>
        <v>0</v>
      </c>
      <c r="K286" s="124">
        <f t="shared" si="126"/>
        <v>0</v>
      </c>
      <c r="L286" s="121">
        <f t="shared" si="127"/>
        <v>0</v>
      </c>
      <c r="M286" s="129">
        <f t="shared" si="122"/>
        <v>0</v>
      </c>
      <c r="N286" s="179">
        <f t="shared" si="128"/>
        <v>10</v>
      </c>
    </row>
    <row r="287" spans="1:14" ht="36" customHeight="1" x14ac:dyDescent="0.25">
      <c r="A287" s="131">
        <v>18</v>
      </c>
      <c r="B287" s="313" t="s">
        <v>511</v>
      </c>
      <c r="C287" s="132"/>
      <c r="D287" s="333"/>
      <c r="E287" s="333"/>
      <c r="F287" s="334">
        <f>SUM(F288:F296)</f>
        <v>47328.869999999995</v>
      </c>
      <c r="G287" s="128"/>
      <c r="H287" s="128"/>
      <c r="I287" s="128"/>
      <c r="J287" s="117">
        <f>SUM(J288:J296)</f>
        <v>0</v>
      </c>
      <c r="K287" s="117">
        <f>SUM(K288:K296)</f>
        <v>0</v>
      </c>
      <c r="L287" s="117"/>
      <c r="M287" s="314">
        <f>L287/F287</f>
        <v>0</v>
      </c>
    </row>
    <row r="288" spans="1:14" s="141" customFormat="1" ht="26.4" x14ac:dyDescent="0.25">
      <c r="A288" s="130" t="s">
        <v>850</v>
      </c>
      <c r="B288" s="309" t="s">
        <v>513</v>
      </c>
      <c r="C288" s="310" t="s">
        <v>31</v>
      </c>
      <c r="D288" s="324">
        <v>1</v>
      </c>
      <c r="E288" s="324">
        <v>67.89</v>
      </c>
      <c r="F288" s="324">
        <v>67.89</v>
      </c>
      <c r="G288" s="124">
        <v>0</v>
      </c>
      <c r="H288" s="124">
        <v>0</v>
      </c>
      <c r="I288" s="121">
        <f t="shared" ref="I288:I296" si="129">G288+H288</f>
        <v>0</v>
      </c>
      <c r="J288" s="124">
        <f t="shared" ref="J288:J296" si="130">TRUNC(E288*G288,2)</f>
        <v>0</v>
      </c>
      <c r="K288" s="124">
        <f t="shared" ref="K288:K296" si="131">TRUNC(E288*H288,2)</f>
        <v>0</v>
      </c>
      <c r="L288" s="121">
        <f t="shared" ref="L288:L296" si="132">J288+K288</f>
        <v>0</v>
      </c>
      <c r="M288" s="129">
        <f t="shared" ref="M288:M314" si="133">L288/F288</f>
        <v>0</v>
      </c>
      <c r="N288" s="179">
        <f t="shared" ref="N288:N296" si="134">D288-I288</f>
        <v>1</v>
      </c>
    </row>
    <row r="289" spans="1:14" s="141" customFormat="1" x14ac:dyDescent="0.25">
      <c r="A289" s="130" t="s">
        <v>851</v>
      </c>
      <c r="B289" s="309" t="s">
        <v>515</v>
      </c>
      <c r="C289" s="310" t="s">
        <v>116</v>
      </c>
      <c r="D289" s="324">
        <v>26</v>
      </c>
      <c r="E289" s="324">
        <v>11.03</v>
      </c>
      <c r="F289" s="324">
        <v>286.77999999999997</v>
      </c>
      <c r="G289" s="124">
        <v>0</v>
      </c>
      <c r="H289" s="124">
        <v>0</v>
      </c>
      <c r="I289" s="121">
        <f t="shared" si="129"/>
        <v>0</v>
      </c>
      <c r="J289" s="124">
        <f t="shared" si="130"/>
        <v>0</v>
      </c>
      <c r="K289" s="124">
        <f t="shared" si="131"/>
        <v>0</v>
      </c>
      <c r="L289" s="121">
        <f t="shared" si="132"/>
        <v>0</v>
      </c>
      <c r="M289" s="129">
        <f t="shared" si="133"/>
        <v>0</v>
      </c>
      <c r="N289" s="179">
        <f t="shared" si="134"/>
        <v>26</v>
      </c>
    </row>
    <row r="290" spans="1:14" s="141" customFormat="1" ht="26.4" x14ac:dyDescent="0.25">
      <c r="A290" s="130" t="s">
        <v>852</v>
      </c>
      <c r="B290" s="309" t="s">
        <v>517</v>
      </c>
      <c r="C290" s="310" t="s">
        <v>31</v>
      </c>
      <c r="D290" s="324">
        <v>26</v>
      </c>
      <c r="E290" s="324">
        <v>16.940000000000001</v>
      </c>
      <c r="F290" s="324">
        <v>440.44</v>
      </c>
      <c r="G290" s="124">
        <v>0</v>
      </c>
      <c r="H290" s="124">
        <v>0</v>
      </c>
      <c r="I290" s="121">
        <f t="shared" si="129"/>
        <v>0</v>
      </c>
      <c r="J290" s="124">
        <f t="shared" si="130"/>
        <v>0</v>
      </c>
      <c r="K290" s="124">
        <f t="shared" si="131"/>
        <v>0</v>
      </c>
      <c r="L290" s="121">
        <f t="shared" si="132"/>
        <v>0</v>
      </c>
      <c r="M290" s="129">
        <f t="shared" si="133"/>
        <v>0</v>
      </c>
      <c r="N290" s="179">
        <f t="shared" si="134"/>
        <v>26</v>
      </c>
    </row>
    <row r="291" spans="1:14" s="141" customFormat="1" ht="26.4" x14ac:dyDescent="0.25">
      <c r="A291" s="130" t="s">
        <v>853</v>
      </c>
      <c r="B291" s="309" t="s">
        <v>519</v>
      </c>
      <c r="C291" s="310" t="s">
        <v>365</v>
      </c>
      <c r="D291" s="324">
        <v>1</v>
      </c>
      <c r="E291" s="324">
        <v>308.27999999999997</v>
      </c>
      <c r="F291" s="324">
        <v>308.27999999999997</v>
      </c>
      <c r="G291" s="124">
        <v>0</v>
      </c>
      <c r="H291" s="124">
        <v>0</v>
      </c>
      <c r="I291" s="121">
        <f t="shared" si="129"/>
        <v>0</v>
      </c>
      <c r="J291" s="124">
        <f t="shared" si="130"/>
        <v>0</v>
      </c>
      <c r="K291" s="124">
        <f t="shared" si="131"/>
        <v>0</v>
      </c>
      <c r="L291" s="121">
        <f t="shared" si="132"/>
        <v>0</v>
      </c>
      <c r="M291" s="129">
        <f t="shared" si="133"/>
        <v>0</v>
      </c>
      <c r="N291" s="179">
        <f t="shared" si="134"/>
        <v>1</v>
      </c>
    </row>
    <row r="292" spans="1:14" s="141" customFormat="1" ht="26.4" x14ac:dyDescent="0.25">
      <c r="A292" s="130" t="s">
        <v>854</v>
      </c>
      <c r="B292" s="309" t="s">
        <v>521</v>
      </c>
      <c r="C292" s="310" t="s">
        <v>31</v>
      </c>
      <c r="D292" s="324">
        <v>26</v>
      </c>
      <c r="E292" s="324">
        <v>68.349999999999994</v>
      </c>
      <c r="F292" s="324">
        <v>1777.1</v>
      </c>
      <c r="G292" s="124">
        <v>0</v>
      </c>
      <c r="H292" s="124">
        <v>0</v>
      </c>
      <c r="I292" s="121">
        <f t="shared" si="129"/>
        <v>0</v>
      </c>
      <c r="J292" s="124">
        <f t="shared" si="130"/>
        <v>0</v>
      </c>
      <c r="K292" s="124">
        <f t="shared" si="131"/>
        <v>0</v>
      </c>
      <c r="L292" s="121">
        <f t="shared" si="132"/>
        <v>0</v>
      </c>
      <c r="M292" s="129">
        <f t="shared" si="133"/>
        <v>0</v>
      </c>
      <c r="N292" s="179">
        <f t="shared" si="134"/>
        <v>26</v>
      </c>
    </row>
    <row r="293" spans="1:14" s="141" customFormat="1" ht="26.4" x14ac:dyDescent="0.25">
      <c r="A293" s="130" t="s">
        <v>855</v>
      </c>
      <c r="B293" s="309" t="s">
        <v>523</v>
      </c>
      <c r="C293" s="310" t="s">
        <v>116</v>
      </c>
      <c r="D293" s="325">
        <v>449.2</v>
      </c>
      <c r="E293" s="325">
        <v>51.42</v>
      </c>
      <c r="F293" s="325">
        <v>23097.86</v>
      </c>
      <c r="G293" s="124">
        <v>0</v>
      </c>
      <c r="H293" s="124">
        <v>0</v>
      </c>
      <c r="I293" s="121">
        <f t="shared" si="129"/>
        <v>0</v>
      </c>
      <c r="J293" s="124">
        <f t="shared" si="130"/>
        <v>0</v>
      </c>
      <c r="K293" s="124">
        <f t="shared" si="131"/>
        <v>0</v>
      </c>
      <c r="L293" s="121">
        <f t="shared" si="132"/>
        <v>0</v>
      </c>
      <c r="M293" s="129">
        <f t="shared" si="133"/>
        <v>0</v>
      </c>
      <c r="N293" s="179">
        <f t="shared" si="134"/>
        <v>449.2</v>
      </c>
    </row>
    <row r="294" spans="1:14" s="141" customFormat="1" ht="26.4" x14ac:dyDescent="0.25">
      <c r="A294" s="130" t="s">
        <v>856</v>
      </c>
      <c r="B294" s="309" t="s">
        <v>525</v>
      </c>
      <c r="C294" s="310" t="s">
        <v>116</v>
      </c>
      <c r="D294" s="326">
        <v>305.2</v>
      </c>
      <c r="E294" s="326">
        <v>68.209999999999994</v>
      </c>
      <c r="F294" s="326">
        <v>20817.689999999999</v>
      </c>
      <c r="G294" s="124">
        <v>0</v>
      </c>
      <c r="H294" s="124">
        <v>0</v>
      </c>
      <c r="I294" s="121">
        <f t="shared" si="129"/>
        <v>0</v>
      </c>
      <c r="J294" s="124">
        <f t="shared" si="130"/>
        <v>0</v>
      </c>
      <c r="K294" s="124">
        <f t="shared" si="131"/>
        <v>0</v>
      </c>
      <c r="L294" s="121">
        <f t="shared" si="132"/>
        <v>0</v>
      </c>
      <c r="M294" s="129">
        <f t="shared" si="133"/>
        <v>0</v>
      </c>
      <c r="N294" s="179">
        <f t="shared" si="134"/>
        <v>305.2</v>
      </c>
    </row>
    <row r="295" spans="1:14" s="141" customFormat="1" ht="26.4" x14ac:dyDescent="0.25">
      <c r="A295" s="130" t="s">
        <v>857</v>
      </c>
      <c r="B295" s="309" t="s">
        <v>527</v>
      </c>
      <c r="C295" s="310" t="s">
        <v>31</v>
      </c>
      <c r="D295" s="324">
        <v>5</v>
      </c>
      <c r="E295" s="324">
        <v>39.33</v>
      </c>
      <c r="F295" s="324">
        <v>196.65</v>
      </c>
      <c r="G295" s="124">
        <v>0</v>
      </c>
      <c r="H295" s="124">
        <v>0</v>
      </c>
      <c r="I295" s="121">
        <f t="shared" si="129"/>
        <v>0</v>
      </c>
      <c r="J295" s="124">
        <f t="shared" si="130"/>
        <v>0</v>
      </c>
      <c r="K295" s="124">
        <f t="shared" si="131"/>
        <v>0</v>
      </c>
      <c r="L295" s="121">
        <f t="shared" si="132"/>
        <v>0</v>
      </c>
      <c r="M295" s="129">
        <f t="shared" si="133"/>
        <v>0</v>
      </c>
      <c r="N295" s="179">
        <f t="shared" si="134"/>
        <v>5</v>
      </c>
    </row>
    <row r="296" spans="1:14" s="141" customFormat="1" x14ac:dyDescent="0.25">
      <c r="A296" s="130" t="s">
        <v>858</v>
      </c>
      <c r="B296" s="309" t="s">
        <v>529</v>
      </c>
      <c r="C296" s="310" t="s">
        <v>31</v>
      </c>
      <c r="D296" s="324">
        <v>26</v>
      </c>
      <c r="E296" s="324">
        <v>12.93</v>
      </c>
      <c r="F296" s="327">
        <v>336.18</v>
      </c>
      <c r="G296" s="124">
        <v>0</v>
      </c>
      <c r="H296" s="124">
        <v>0</v>
      </c>
      <c r="I296" s="121">
        <f t="shared" si="129"/>
        <v>0</v>
      </c>
      <c r="J296" s="124">
        <f t="shared" si="130"/>
        <v>0</v>
      </c>
      <c r="K296" s="124">
        <f t="shared" si="131"/>
        <v>0</v>
      </c>
      <c r="L296" s="121">
        <f t="shared" si="132"/>
        <v>0</v>
      </c>
      <c r="M296" s="129">
        <f t="shared" si="133"/>
        <v>0</v>
      </c>
      <c r="N296" s="179">
        <f t="shared" si="134"/>
        <v>26</v>
      </c>
    </row>
    <row r="297" spans="1:14" s="141" customFormat="1" ht="33" customHeight="1" x14ac:dyDescent="0.25">
      <c r="A297" s="148" t="s">
        <v>939</v>
      </c>
      <c r="B297" s="313" t="s">
        <v>531</v>
      </c>
      <c r="C297" s="320"/>
      <c r="D297" s="351"/>
      <c r="E297" s="351"/>
      <c r="F297" s="352">
        <f>F298+F304</f>
        <v>56091.17</v>
      </c>
      <c r="G297" s="150"/>
      <c r="H297" s="150"/>
      <c r="I297" s="150"/>
      <c r="J297" s="150"/>
      <c r="K297" s="150"/>
      <c r="L297" s="150"/>
      <c r="M297" s="314">
        <f>L297/F297</f>
        <v>0</v>
      </c>
    </row>
    <row r="298" spans="1:14" s="141" customFormat="1" ht="22.5" customHeight="1" x14ac:dyDescent="0.25">
      <c r="A298" s="151" t="s">
        <v>940</v>
      </c>
      <c r="B298" s="317" t="s">
        <v>533</v>
      </c>
      <c r="C298" s="318"/>
      <c r="D298" s="336"/>
      <c r="E298" s="336"/>
      <c r="F298" s="337">
        <f>SUM(F299:F303)</f>
        <v>11911.259999999998</v>
      </c>
      <c r="G298" s="137"/>
      <c r="H298" s="137"/>
      <c r="I298" s="137"/>
      <c r="J298" s="137">
        <f>SUM(J299:J303)</f>
        <v>0</v>
      </c>
      <c r="K298" s="137">
        <f>SUM(K299:K303)</f>
        <v>0</v>
      </c>
      <c r="L298" s="137"/>
      <c r="M298" s="139">
        <f>L298/F298</f>
        <v>0</v>
      </c>
    </row>
    <row r="299" spans="1:14" s="141" customFormat="1" x14ac:dyDescent="0.25">
      <c r="A299" s="130" t="s">
        <v>859</v>
      </c>
      <c r="B299" s="309" t="s">
        <v>535</v>
      </c>
      <c r="C299" s="310" t="s">
        <v>24</v>
      </c>
      <c r="D299" s="324">
        <v>12.22</v>
      </c>
      <c r="E299" s="324">
        <v>304.88</v>
      </c>
      <c r="F299" s="324">
        <v>3725.63</v>
      </c>
      <c r="G299" s="124">
        <v>0</v>
      </c>
      <c r="H299" s="124">
        <v>0</v>
      </c>
      <c r="I299" s="121">
        <f t="shared" ref="I299:I303" si="135">G299+H299</f>
        <v>0</v>
      </c>
      <c r="J299" s="124">
        <f t="shared" ref="J299:J303" si="136">TRUNC(E299*G299,2)</f>
        <v>0</v>
      </c>
      <c r="K299" s="124">
        <f t="shared" ref="K299:K303" si="137">TRUNC(E299*H299,2)</f>
        <v>0</v>
      </c>
      <c r="L299" s="121">
        <f t="shared" ref="L299:L303" si="138">J299+K299</f>
        <v>0</v>
      </c>
      <c r="M299" s="129">
        <f t="shared" si="133"/>
        <v>0</v>
      </c>
      <c r="N299" s="179">
        <f t="shared" ref="N299:N303" si="139">D299-I299</f>
        <v>12.22</v>
      </c>
    </row>
    <row r="300" spans="1:14" s="141" customFormat="1" x14ac:dyDescent="0.25">
      <c r="A300" s="130" t="s">
        <v>860</v>
      </c>
      <c r="B300" s="309" t="s">
        <v>535</v>
      </c>
      <c r="C300" s="310" t="s">
        <v>24</v>
      </c>
      <c r="D300" s="324">
        <v>3.5</v>
      </c>
      <c r="E300" s="324">
        <v>304.88</v>
      </c>
      <c r="F300" s="324">
        <v>1067.08</v>
      </c>
      <c r="G300" s="124">
        <v>0</v>
      </c>
      <c r="H300" s="124">
        <v>0</v>
      </c>
      <c r="I300" s="121">
        <f t="shared" si="135"/>
        <v>0</v>
      </c>
      <c r="J300" s="124">
        <f t="shared" si="136"/>
        <v>0</v>
      </c>
      <c r="K300" s="124">
        <f t="shared" si="137"/>
        <v>0</v>
      </c>
      <c r="L300" s="121">
        <f t="shared" si="138"/>
        <v>0</v>
      </c>
      <c r="M300" s="129">
        <f t="shared" si="133"/>
        <v>0</v>
      </c>
      <c r="N300" s="179">
        <f t="shared" si="139"/>
        <v>3.5</v>
      </c>
    </row>
    <row r="301" spans="1:14" s="141" customFormat="1" x14ac:dyDescent="0.25">
      <c r="A301" s="130" t="s">
        <v>861</v>
      </c>
      <c r="B301" s="309" t="s">
        <v>537</v>
      </c>
      <c r="C301" s="310" t="s">
        <v>116</v>
      </c>
      <c r="D301" s="324">
        <v>71.3</v>
      </c>
      <c r="E301" s="324">
        <v>79.55</v>
      </c>
      <c r="F301" s="324">
        <v>5671.91</v>
      </c>
      <c r="G301" s="124">
        <v>0</v>
      </c>
      <c r="H301" s="124">
        <v>0</v>
      </c>
      <c r="I301" s="121">
        <f t="shared" si="135"/>
        <v>0</v>
      </c>
      <c r="J301" s="124">
        <f t="shared" si="136"/>
        <v>0</v>
      </c>
      <c r="K301" s="124">
        <f t="shared" si="137"/>
        <v>0</v>
      </c>
      <c r="L301" s="121">
        <f t="shared" si="138"/>
        <v>0</v>
      </c>
      <c r="M301" s="129">
        <f t="shared" si="133"/>
        <v>0</v>
      </c>
      <c r="N301" s="179">
        <f t="shared" si="139"/>
        <v>71.3</v>
      </c>
    </row>
    <row r="302" spans="1:14" s="141" customFormat="1" x14ac:dyDescent="0.25">
      <c r="A302" s="130" t="s">
        <v>862</v>
      </c>
      <c r="B302" s="309" t="s">
        <v>539</v>
      </c>
      <c r="C302" s="310" t="s">
        <v>24</v>
      </c>
      <c r="D302" s="324">
        <v>6.55</v>
      </c>
      <c r="E302" s="324">
        <v>181.65</v>
      </c>
      <c r="F302" s="324">
        <v>1189.8</v>
      </c>
      <c r="G302" s="124">
        <v>0</v>
      </c>
      <c r="H302" s="124">
        <v>0</v>
      </c>
      <c r="I302" s="121">
        <f t="shared" si="135"/>
        <v>0</v>
      </c>
      <c r="J302" s="124">
        <f t="shared" si="136"/>
        <v>0</v>
      </c>
      <c r="K302" s="124">
        <f t="shared" si="137"/>
        <v>0</v>
      </c>
      <c r="L302" s="121">
        <f t="shared" si="138"/>
        <v>0</v>
      </c>
      <c r="M302" s="129">
        <f t="shared" si="133"/>
        <v>0</v>
      </c>
      <c r="N302" s="179">
        <f t="shared" si="139"/>
        <v>6.55</v>
      </c>
    </row>
    <row r="303" spans="1:14" s="141" customFormat="1" x14ac:dyDescent="0.25">
      <c r="A303" s="130" t="s">
        <v>863</v>
      </c>
      <c r="B303" s="309" t="s">
        <v>541</v>
      </c>
      <c r="C303" s="310" t="s">
        <v>24</v>
      </c>
      <c r="D303" s="324">
        <v>1.9</v>
      </c>
      <c r="E303" s="324">
        <v>135.18</v>
      </c>
      <c r="F303" s="327">
        <v>256.83999999999997</v>
      </c>
      <c r="G303" s="124">
        <v>0</v>
      </c>
      <c r="H303" s="124">
        <v>0</v>
      </c>
      <c r="I303" s="121">
        <f t="shared" si="135"/>
        <v>0</v>
      </c>
      <c r="J303" s="124">
        <f t="shared" si="136"/>
        <v>0</v>
      </c>
      <c r="K303" s="124">
        <f t="shared" si="137"/>
        <v>0</v>
      </c>
      <c r="L303" s="121">
        <f t="shared" si="138"/>
        <v>0</v>
      </c>
      <c r="M303" s="129">
        <f t="shared" si="133"/>
        <v>0</v>
      </c>
      <c r="N303" s="179">
        <f t="shared" si="139"/>
        <v>1.9</v>
      </c>
    </row>
    <row r="304" spans="1:14" s="141" customFormat="1" ht="27" customHeight="1" x14ac:dyDescent="0.25">
      <c r="A304" s="151" t="s">
        <v>941</v>
      </c>
      <c r="B304" s="317" t="s">
        <v>543</v>
      </c>
      <c r="C304" s="318"/>
      <c r="D304" s="336"/>
      <c r="E304" s="336"/>
      <c r="F304" s="337">
        <f>SUM(F305:F311)</f>
        <v>44179.909999999996</v>
      </c>
      <c r="G304" s="137"/>
      <c r="H304" s="137"/>
      <c r="I304" s="137"/>
      <c r="J304" s="137">
        <f>SUM(J305:J311)</f>
        <v>0</v>
      </c>
      <c r="K304" s="137">
        <f>SUM(K305:K311)</f>
        <v>0</v>
      </c>
      <c r="L304" s="137"/>
      <c r="M304" s="139">
        <f>L304/F304</f>
        <v>0</v>
      </c>
    </row>
    <row r="305" spans="1:14" s="141" customFormat="1" x14ac:dyDescent="0.25">
      <c r="A305" s="130" t="s">
        <v>864</v>
      </c>
      <c r="B305" s="309" t="s">
        <v>545</v>
      </c>
      <c r="C305" s="310" t="s">
        <v>31</v>
      </c>
      <c r="D305" s="324">
        <v>1</v>
      </c>
      <c r="E305" s="324">
        <v>3472.9</v>
      </c>
      <c r="F305" s="324">
        <v>3472.9</v>
      </c>
      <c r="G305" s="124">
        <v>0</v>
      </c>
      <c r="H305" s="124">
        <v>0</v>
      </c>
      <c r="I305" s="121">
        <f t="shared" ref="I305:I311" si="140">G305+H305</f>
        <v>0</v>
      </c>
      <c r="J305" s="124">
        <f t="shared" ref="J305:J311" si="141">TRUNC(E305*G305,2)</f>
        <v>0</v>
      </c>
      <c r="K305" s="124">
        <f t="shared" ref="K305:K311" si="142">TRUNC(E305*H305,2)</f>
        <v>0</v>
      </c>
      <c r="L305" s="121">
        <f t="shared" ref="L305:L311" si="143">J305+K305</f>
        <v>0</v>
      </c>
      <c r="M305" s="129">
        <f t="shared" si="133"/>
        <v>0</v>
      </c>
      <c r="N305" s="179">
        <f t="shared" ref="N305:N311" si="144">D305-I305</f>
        <v>1</v>
      </c>
    </row>
    <row r="306" spans="1:14" s="141" customFormat="1" x14ac:dyDescent="0.25">
      <c r="A306" s="130" t="s">
        <v>865</v>
      </c>
      <c r="B306" s="309" t="s">
        <v>547</v>
      </c>
      <c r="C306" s="310" t="s">
        <v>116</v>
      </c>
      <c r="D306" s="324">
        <v>14</v>
      </c>
      <c r="E306" s="324">
        <v>367.74</v>
      </c>
      <c r="F306" s="324">
        <v>5148.3599999999997</v>
      </c>
      <c r="G306" s="124">
        <v>0</v>
      </c>
      <c r="H306" s="124">
        <v>0</v>
      </c>
      <c r="I306" s="121">
        <f t="shared" si="140"/>
        <v>0</v>
      </c>
      <c r="J306" s="124">
        <f t="shared" si="141"/>
        <v>0</v>
      </c>
      <c r="K306" s="124">
        <f t="shared" si="142"/>
        <v>0</v>
      </c>
      <c r="L306" s="121">
        <f t="shared" si="143"/>
        <v>0</v>
      </c>
      <c r="M306" s="129">
        <f t="shared" si="133"/>
        <v>0</v>
      </c>
      <c r="N306" s="179">
        <f t="shared" si="144"/>
        <v>14</v>
      </c>
    </row>
    <row r="307" spans="1:14" s="141" customFormat="1" x14ac:dyDescent="0.25">
      <c r="A307" s="130" t="s">
        <v>866</v>
      </c>
      <c r="B307" s="309" t="s">
        <v>549</v>
      </c>
      <c r="C307" s="310" t="s">
        <v>24</v>
      </c>
      <c r="D307" s="324">
        <v>90.96</v>
      </c>
      <c r="E307" s="324">
        <v>13.97</v>
      </c>
      <c r="F307" s="324">
        <v>1270.71</v>
      </c>
      <c r="G307" s="124">
        <v>0</v>
      </c>
      <c r="H307" s="124">
        <v>0</v>
      </c>
      <c r="I307" s="121">
        <f t="shared" si="140"/>
        <v>0</v>
      </c>
      <c r="J307" s="124">
        <f t="shared" si="141"/>
        <v>0</v>
      </c>
      <c r="K307" s="124">
        <f t="shared" si="142"/>
        <v>0</v>
      </c>
      <c r="L307" s="121">
        <f t="shared" si="143"/>
        <v>0</v>
      </c>
      <c r="M307" s="129">
        <f t="shared" si="133"/>
        <v>0</v>
      </c>
      <c r="N307" s="179">
        <f t="shared" si="144"/>
        <v>90.96</v>
      </c>
    </row>
    <row r="308" spans="1:14" s="141" customFormat="1" x14ac:dyDescent="0.25">
      <c r="A308" s="130" t="s">
        <v>867</v>
      </c>
      <c r="B308" s="309" t="s">
        <v>551</v>
      </c>
      <c r="C308" s="310" t="s">
        <v>116</v>
      </c>
      <c r="D308" s="324">
        <v>143.19999999999999</v>
      </c>
      <c r="E308" s="324">
        <v>125.66</v>
      </c>
      <c r="F308" s="324">
        <v>17994.509999999998</v>
      </c>
      <c r="G308" s="124">
        <v>0</v>
      </c>
      <c r="H308" s="124">
        <v>0</v>
      </c>
      <c r="I308" s="121">
        <f t="shared" si="140"/>
        <v>0</v>
      </c>
      <c r="J308" s="124">
        <f t="shared" si="141"/>
        <v>0</v>
      </c>
      <c r="K308" s="124">
        <f t="shared" si="142"/>
        <v>0</v>
      </c>
      <c r="L308" s="121">
        <f t="shared" si="143"/>
        <v>0</v>
      </c>
      <c r="M308" s="129">
        <f t="shared" si="133"/>
        <v>0</v>
      </c>
      <c r="N308" s="179">
        <f t="shared" si="144"/>
        <v>143.19999999999999</v>
      </c>
    </row>
    <row r="309" spans="1:14" s="141" customFormat="1" ht="39.6" x14ac:dyDescent="0.25">
      <c r="A309" s="130" t="s">
        <v>868</v>
      </c>
      <c r="B309" s="309" t="s">
        <v>385</v>
      </c>
      <c r="C309" s="310" t="s">
        <v>24</v>
      </c>
      <c r="D309" s="324">
        <v>5.27</v>
      </c>
      <c r="E309" s="324">
        <v>817.23</v>
      </c>
      <c r="F309" s="324">
        <v>4306.8</v>
      </c>
      <c r="G309" s="124">
        <v>0</v>
      </c>
      <c r="H309" s="124">
        <v>0</v>
      </c>
      <c r="I309" s="121">
        <f t="shared" si="140"/>
        <v>0</v>
      </c>
      <c r="J309" s="124">
        <f t="shared" si="141"/>
        <v>0</v>
      </c>
      <c r="K309" s="124">
        <f t="shared" si="142"/>
        <v>0</v>
      </c>
      <c r="L309" s="121">
        <f t="shared" si="143"/>
        <v>0</v>
      </c>
      <c r="M309" s="129">
        <f t="shared" si="133"/>
        <v>0</v>
      </c>
      <c r="N309" s="179">
        <f t="shared" si="144"/>
        <v>5.27</v>
      </c>
    </row>
    <row r="310" spans="1:14" s="141" customFormat="1" ht="39.6" x14ac:dyDescent="0.25">
      <c r="A310" s="130" t="s">
        <v>869</v>
      </c>
      <c r="B310" s="309" t="s">
        <v>553</v>
      </c>
      <c r="C310" s="310" t="s">
        <v>24</v>
      </c>
      <c r="D310" s="324">
        <v>4.9000000000000004</v>
      </c>
      <c r="E310" s="324">
        <v>672.55</v>
      </c>
      <c r="F310" s="324">
        <v>3295.49</v>
      </c>
      <c r="G310" s="124">
        <v>0</v>
      </c>
      <c r="H310" s="124">
        <v>0</v>
      </c>
      <c r="I310" s="121">
        <f t="shared" si="140"/>
        <v>0</v>
      </c>
      <c r="J310" s="124">
        <f t="shared" si="141"/>
        <v>0</v>
      </c>
      <c r="K310" s="124">
        <f t="shared" si="142"/>
        <v>0</v>
      </c>
      <c r="L310" s="121">
        <f t="shared" si="143"/>
        <v>0</v>
      </c>
      <c r="M310" s="129">
        <f t="shared" si="133"/>
        <v>0</v>
      </c>
      <c r="N310" s="179">
        <f t="shared" si="144"/>
        <v>4.9000000000000004</v>
      </c>
    </row>
    <row r="311" spans="1:14" s="141" customFormat="1" ht="39.6" x14ac:dyDescent="0.25">
      <c r="A311" s="130" t="s">
        <v>870</v>
      </c>
      <c r="B311" s="309" t="s">
        <v>555</v>
      </c>
      <c r="C311" s="310" t="s">
        <v>24</v>
      </c>
      <c r="D311" s="324">
        <v>5.43</v>
      </c>
      <c r="E311" s="324">
        <v>1600.58</v>
      </c>
      <c r="F311" s="327">
        <v>8691.14</v>
      </c>
      <c r="G311" s="124">
        <v>0</v>
      </c>
      <c r="H311" s="124">
        <v>0</v>
      </c>
      <c r="I311" s="121">
        <f t="shared" si="140"/>
        <v>0</v>
      </c>
      <c r="J311" s="124">
        <f t="shared" si="141"/>
        <v>0</v>
      </c>
      <c r="K311" s="124">
        <f t="shared" si="142"/>
        <v>0</v>
      </c>
      <c r="L311" s="121">
        <f t="shared" si="143"/>
        <v>0</v>
      </c>
      <c r="M311" s="129">
        <f t="shared" si="133"/>
        <v>0</v>
      </c>
      <c r="N311" s="179">
        <f t="shared" si="144"/>
        <v>5.43</v>
      </c>
    </row>
    <row r="312" spans="1:14" s="141" customFormat="1" ht="23.25" customHeight="1" x14ac:dyDescent="0.25">
      <c r="A312" s="148">
        <v>20</v>
      </c>
      <c r="B312" s="319" t="s">
        <v>557</v>
      </c>
      <c r="C312" s="320"/>
      <c r="D312" s="351"/>
      <c r="E312" s="351"/>
      <c r="F312" s="353">
        <f>SUM(F313:F314)</f>
        <v>3754.85</v>
      </c>
      <c r="G312" s="150"/>
      <c r="H312" s="150"/>
      <c r="I312" s="150"/>
      <c r="J312" s="150">
        <f>J313+J314</f>
        <v>0</v>
      </c>
      <c r="K312" s="150">
        <f>K313+K314</f>
        <v>0</v>
      </c>
      <c r="L312" s="150"/>
      <c r="M312" s="314">
        <f>L312/F312</f>
        <v>0</v>
      </c>
    </row>
    <row r="313" spans="1:14" s="141" customFormat="1" ht="26.4" x14ac:dyDescent="0.25">
      <c r="A313" s="130" t="s">
        <v>871</v>
      </c>
      <c r="B313" s="309" t="s">
        <v>559</v>
      </c>
      <c r="C313" s="310" t="s">
        <v>24</v>
      </c>
      <c r="D313" s="324">
        <v>1129.6400000000001</v>
      </c>
      <c r="E313" s="324">
        <v>1.69</v>
      </c>
      <c r="F313" s="331">
        <f>TRUNC(E313*D313,2)</f>
        <v>1909.09</v>
      </c>
      <c r="G313" s="124">
        <v>0</v>
      </c>
      <c r="H313" s="124">
        <v>0</v>
      </c>
      <c r="I313" s="121">
        <f t="shared" ref="I313:I314" si="145">G313+H313</f>
        <v>0</v>
      </c>
      <c r="J313" s="124">
        <f t="shared" ref="J313:J314" si="146">TRUNC(E313*G313,2)</f>
        <v>0</v>
      </c>
      <c r="K313" s="124">
        <f t="shared" ref="K313:K314" si="147">TRUNC(E313*H313,2)</f>
        <v>0</v>
      </c>
      <c r="L313" s="121">
        <f t="shared" ref="L313:L314" si="148">J313+K313</f>
        <v>0</v>
      </c>
      <c r="M313" s="129">
        <f t="shared" si="133"/>
        <v>0</v>
      </c>
      <c r="N313" s="179">
        <f t="shared" ref="N313:N314" si="149">D313-I313</f>
        <v>1129.6400000000001</v>
      </c>
    </row>
    <row r="314" spans="1:14" s="141" customFormat="1" x14ac:dyDescent="0.25">
      <c r="A314" s="130" t="s">
        <v>872</v>
      </c>
      <c r="B314" s="309" t="s">
        <v>561</v>
      </c>
      <c r="C314" s="310" t="s">
        <v>365</v>
      </c>
      <c r="D314" s="325">
        <v>1</v>
      </c>
      <c r="E314" s="325">
        <v>1845.76</v>
      </c>
      <c r="F314" s="354">
        <f>TRUNC(E314*D314,2)</f>
        <v>1845.76</v>
      </c>
      <c r="G314" s="124">
        <v>0</v>
      </c>
      <c r="H314" s="124">
        <v>0</v>
      </c>
      <c r="I314" s="121">
        <f t="shared" si="145"/>
        <v>0</v>
      </c>
      <c r="J314" s="124">
        <f t="shared" si="146"/>
        <v>0</v>
      </c>
      <c r="K314" s="124">
        <f t="shared" si="147"/>
        <v>0</v>
      </c>
      <c r="L314" s="121">
        <f t="shared" si="148"/>
        <v>0</v>
      </c>
      <c r="M314" s="129">
        <f t="shared" si="133"/>
        <v>0</v>
      </c>
      <c r="N314" s="179">
        <f t="shared" si="149"/>
        <v>1</v>
      </c>
    </row>
    <row r="315" spans="1:14" s="141" customFormat="1" ht="13.8" thickBot="1" x14ac:dyDescent="0.3">
      <c r="A315" s="130"/>
      <c r="B315" s="309"/>
      <c r="C315" s="310"/>
      <c r="D315" s="311"/>
      <c r="E315" s="312"/>
      <c r="F315" s="120"/>
      <c r="G315" s="124"/>
      <c r="H315" s="124"/>
      <c r="I315" s="121"/>
      <c r="J315" s="124"/>
      <c r="K315" s="124"/>
      <c r="L315" s="121"/>
      <c r="M315" s="152"/>
    </row>
    <row r="316" spans="1:14" ht="26.25" customHeight="1" thickTop="1" thickBot="1" x14ac:dyDescent="0.3">
      <c r="A316" s="441" t="s">
        <v>913</v>
      </c>
      <c r="B316" s="442"/>
      <c r="C316" s="442"/>
      <c r="D316" s="442"/>
      <c r="E316" s="443"/>
      <c r="F316" s="153">
        <f>F312+F297+F287+F236+F231+F219+F198+F179+F151+F143+F129+F120+F118+F109+F79+F75+F57+F35+F30+F19</f>
        <v>1401000.0039999997</v>
      </c>
      <c r="G316" s="424"/>
      <c r="H316" s="424"/>
      <c r="I316" s="424"/>
      <c r="J316" s="153">
        <f>SUM(J312,J297,J287,J236,J231,J219,J198,J179,J151,J143,J129,J120,J118,J109,J79,J75,J57,J35,J30,J19)</f>
        <v>132128.79999999999</v>
      </c>
      <c r="K316" s="153">
        <f>SUM(K312,K297,K287,K236,K231,K219,K198,K179,K151,K143,K129,K120,K118,K109,K79,K75,K57,K35,K30,K19)</f>
        <v>108696.72334</v>
      </c>
      <c r="L316" s="153">
        <f>SUM(L312,L297,L287,L236,L231,L219,L198,L179,L151,L143,L129,L120,L118,L109,L79,L75,L57,L35,L30,L19)</f>
        <v>240825.52333999999</v>
      </c>
      <c r="M316" s="154">
        <f>L316/F316</f>
        <v>0.17189544800315362</v>
      </c>
    </row>
    <row r="317" spans="1:14" s="141" customFormat="1" ht="12" customHeight="1" thickTop="1" x14ac:dyDescent="0.25">
      <c r="A317" s="155"/>
      <c r="B317" s="156"/>
      <c r="C317" s="157"/>
      <c r="D317" s="158"/>
      <c r="E317" s="159"/>
      <c r="F317" s="160"/>
      <c r="G317" s="161"/>
      <c r="H317" s="161"/>
      <c r="I317" s="162"/>
      <c r="J317" s="161"/>
      <c r="K317" s="161"/>
      <c r="L317" s="162"/>
      <c r="M317" s="163"/>
    </row>
    <row r="318" spans="1:14" s="110" customFormat="1" ht="18" hidden="1" customHeight="1" x14ac:dyDescent="0.25">
      <c r="A318" s="109" t="s">
        <v>905</v>
      </c>
      <c r="B318" s="109" t="s">
        <v>906</v>
      </c>
      <c r="C318" s="434" t="s">
        <v>907</v>
      </c>
      <c r="D318" s="434"/>
      <c r="E318" s="434"/>
      <c r="F318" s="434"/>
      <c r="G318" s="434" t="s">
        <v>908</v>
      </c>
      <c r="H318" s="434"/>
      <c r="I318" s="434"/>
      <c r="J318" s="434" t="s">
        <v>909</v>
      </c>
      <c r="K318" s="434"/>
      <c r="L318" s="434"/>
      <c r="M318" s="432" t="s">
        <v>910</v>
      </c>
    </row>
    <row r="319" spans="1:14" s="112" customFormat="1" ht="36" hidden="1" x14ac:dyDescent="0.25">
      <c r="A319" s="111"/>
      <c r="B319" s="111"/>
      <c r="C319" s="111" t="s">
        <v>911</v>
      </c>
      <c r="D319" s="111" t="s">
        <v>567</v>
      </c>
      <c r="E319" s="111" t="s">
        <v>912</v>
      </c>
      <c r="F319" s="111" t="s">
        <v>913</v>
      </c>
      <c r="G319" s="111" t="s">
        <v>914</v>
      </c>
      <c r="H319" s="111" t="s">
        <v>915</v>
      </c>
      <c r="I319" s="111" t="s">
        <v>916</v>
      </c>
      <c r="J319" s="111" t="s">
        <v>914</v>
      </c>
      <c r="K319" s="111" t="s">
        <v>915</v>
      </c>
      <c r="L319" s="111" t="s">
        <v>916</v>
      </c>
      <c r="M319" s="433"/>
    </row>
    <row r="320" spans="1:14" hidden="1" x14ac:dyDescent="0.25">
      <c r="A320" s="418" t="s">
        <v>942</v>
      </c>
      <c r="B320" s="419"/>
      <c r="C320" s="419"/>
      <c r="D320" s="419"/>
      <c r="E320" s="419"/>
      <c r="F320" s="419"/>
      <c r="G320" s="419"/>
      <c r="H320" s="419"/>
      <c r="I320" s="419"/>
      <c r="J320" s="419"/>
      <c r="K320" s="419"/>
      <c r="L320" s="419"/>
      <c r="M320" s="420"/>
    </row>
    <row r="321" spans="1:13" hidden="1" x14ac:dyDescent="0.25">
      <c r="A321" s="164"/>
      <c r="B321" s="165" t="s">
        <v>56</v>
      </c>
      <c r="C321" s="165"/>
      <c r="D321" s="166"/>
      <c r="E321" s="167"/>
      <c r="F321" s="168">
        <f>SUM(F322:F323)</f>
        <v>5957.8932225147064</v>
      </c>
      <c r="G321" s="168"/>
      <c r="H321" s="168"/>
      <c r="I321" s="168"/>
      <c r="J321" s="169">
        <f t="shared" ref="J321" si="150">SUM(J322)</f>
        <v>0</v>
      </c>
      <c r="K321" s="169">
        <f>SUM(K322:K323)</f>
        <v>5957.89</v>
      </c>
      <c r="L321" s="169">
        <f>K321</f>
        <v>5957.89</v>
      </c>
      <c r="M321" s="170">
        <f>L321/F321</f>
        <v>0.99999945911841892</v>
      </c>
    </row>
    <row r="322" spans="1:13" s="141" customFormat="1" ht="52.8" hidden="1" x14ac:dyDescent="0.25">
      <c r="A322" s="130">
        <v>1</v>
      </c>
      <c r="B322" s="171" t="s">
        <v>943</v>
      </c>
      <c r="C322" s="172" t="s">
        <v>24</v>
      </c>
      <c r="D322" s="173">
        <v>62.713949999999997</v>
      </c>
      <c r="E322" s="174">
        <f>'[1]CPU do item não planilhado'!K11</f>
        <v>95.001083849999986</v>
      </c>
      <c r="F322" s="174">
        <f>E322*D322</f>
        <v>5957.8932225147064</v>
      </c>
      <c r="G322" s="124">
        <v>0</v>
      </c>
      <c r="H322" s="124">
        <f>D322</f>
        <v>62.713949999999997</v>
      </c>
      <c r="I322" s="121">
        <f>G322+H322</f>
        <v>62.713949999999997</v>
      </c>
      <c r="J322" s="124">
        <f>TRUNC(E322*G322,2)</f>
        <v>0</v>
      </c>
      <c r="K322" s="124">
        <f>TRUNC(E322*H322,2)</f>
        <v>5957.89</v>
      </c>
      <c r="L322" s="121">
        <f>J322+K322</f>
        <v>5957.89</v>
      </c>
      <c r="M322" s="152">
        <f t="shared" ref="M322" si="151">L322/F322</f>
        <v>0.99999945911841892</v>
      </c>
    </row>
    <row r="323" spans="1:13" ht="13.8" thickBot="1" x14ac:dyDescent="0.3"/>
    <row r="324" spans="1:13" ht="36" customHeight="1" thickTop="1" thickBot="1" x14ac:dyDescent="0.3">
      <c r="A324" s="421" t="s">
        <v>1083</v>
      </c>
      <c r="B324" s="422"/>
      <c r="C324" s="422"/>
      <c r="D324" s="422"/>
      <c r="E324" s="423"/>
      <c r="F324" s="153">
        <f>F316</f>
        <v>1401000.0039999997</v>
      </c>
      <c r="G324" s="424"/>
      <c r="H324" s="424"/>
      <c r="I324" s="424"/>
      <c r="J324" s="153">
        <f>J316</f>
        <v>132128.79999999999</v>
      </c>
      <c r="K324" s="176">
        <f>K316</f>
        <v>108696.72334</v>
      </c>
      <c r="L324" s="153">
        <f>K324+J324</f>
        <v>240825.52333999999</v>
      </c>
      <c r="M324" s="154">
        <f>L324/F324</f>
        <v>0.17189544800315362</v>
      </c>
    </row>
    <row r="325" spans="1:13" ht="16.2" thickTop="1" x14ac:dyDescent="0.25">
      <c r="A325" s="177"/>
      <c r="B325" s="177"/>
      <c r="C325" s="177"/>
      <c r="D325" s="177"/>
      <c r="E325" s="177"/>
      <c r="F325" s="178"/>
      <c r="G325" s="179"/>
      <c r="H325" s="179"/>
      <c r="I325" s="179"/>
      <c r="J325" s="178"/>
      <c r="K325" s="178"/>
      <c r="L325" s="178"/>
      <c r="M325" s="180"/>
    </row>
    <row r="326" spans="1:13" ht="15.6" x14ac:dyDescent="0.25">
      <c r="B326" s="425"/>
      <c r="C326" s="425"/>
      <c r="D326" s="425"/>
      <c r="E326" s="425"/>
      <c r="F326" s="425"/>
      <c r="G326" s="425"/>
      <c r="H326" s="425"/>
      <c r="I326" s="425"/>
      <c r="J326" s="425"/>
      <c r="K326" s="425"/>
      <c r="L326" s="425"/>
      <c r="M326" s="425"/>
    </row>
    <row r="327" spans="1:13" ht="15" customHeight="1" thickBot="1" x14ac:dyDescent="0.3"/>
    <row r="328" spans="1:13" ht="81" customHeight="1" thickTop="1" x14ac:dyDescent="0.25">
      <c r="A328" s="426" t="s">
        <v>944</v>
      </c>
      <c r="B328" s="427"/>
      <c r="C328" s="428" t="s">
        <v>945</v>
      </c>
      <c r="D328" s="429"/>
      <c r="E328" s="429"/>
      <c r="F328" s="429"/>
      <c r="G328" s="429"/>
      <c r="H328" s="430"/>
      <c r="I328" s="428" t="s">
        <v>946</v>
      </c>
      <c r="J328" s="429"/>
      <c r="K328" s="429"/>
      <c r="L328" s="429"/>
      <c r="M328" s="431"/>
    </row>
    <row r="329" spans="1:13" ht="45" customHeight="1" x14ac:dyDescent="0.25">
      <c r="A329" s="410" t="s">
        <v>947</v>
      </c>
      <c r="B329" s="411"/>
      <c r="C329" s="412" t="s">
        <v>948</v>
      </c>
      <c r="D329" s="413"/>
      <c r="E329" s="413"/>
      <c r="F329" s="413"/>
      <c r="G329" s="413"/>
      <c r="H329" s="414"/>
      <c r="I329" s="415" t="s">
        <v>949</v>
      </c>
      <c r="J329" s="416"/>
      <c r="K329" s="416"/>
      <c r="L329" s="416"/>
      <c r="M329" s="417"/>
    </row>
    <row r="331" spans="1:13" x14ac:dyDescent="0.25">
      <c r="J331" s="356"/>
      <c r="L331" s="357"/>
    </row>
  </sheetData>
  <sheetProtection selectLockedCells="1" selectUnlockedCells="1"/>
  <mergeCells count="32">
    <mergeCell ref="A2:M2"/>
    <mergeCell ref="J4:K4"/>
    <mergeCell ref="J5:K5"/>
    <mergeCell ref="H11:I11"/>
    <mergeCell ref="J11:K11"/>
    <mergeCell ref="L11:M11"/>
    <mergeCell ref="C16:F16"/>
    <mergeCell ref="G16:I16"/>
    <mergeCell ref="J16:L16"/>
    <mergeCell ref="M16:M17"/>
    <mergeCell ref="A316:E316"/>
    <mergeCell ref="G316:I316"/>
    <mergeCell ref="B13:E13"/>
    <mergeCell ref="F14:G14"/>
    <mergeCell ref="H14:I14"/>
    <mergeCell ref="J14:K14"/>
    <mergeCell ref="L14:M14"/>
    <mergeCell ref="P37:P38"/>
    <mergeCell ref="A329:B329"/>
    <mergeCell ref="C329:H329"/>
    <mergeCell ref="I329:M329"/>
    <mergeCell ref="A320:M320"/>
    <mergeCell ref="A324:E324"/>
    <mergeCell ref="G324:I324"/>
    <mergeCell ref="B326:M326"/>
    <mergeCell ref="A328:B328"/>
    <mergeCell ref="C328:H328"/>
    <mergeCell ref="I328:M328"/>
    <mergeCell ref="M318:M319"/>
    <mergeCell ref="C318:F318"/>
    <mergeCell ref="G318:I318"/>
    <mergeCell ref="J318:L318"/>
  </mergeCells>
  <conditionalFormatting sqref="N20:N29">
    <cfRule type="cellIs" dxfId="67" priority="35" operator="equal">
      <formula>0</formula>
    </cfRule>
  </conditionalFormatting>
  <conditionalFormatting sqref="N31:N34">
    <cfRule type="cellIs" dxfId="66" priority="34" operator="equal">
      <formula>0</formula>
    </cfRule>
  </conditionalFormatting>
  <conditionalFormatting sqref="N37:N44">
    <cfRule type="cellIs" dxfId="65" priority="32" operator="equal">
      <formula>0</formula>
    </cfRule>
  </conditionalFormatting>
  <conditionalFormatting sqref="N46:N51">
    <cfRule type="cellIs" dxfId="64" priority="31" operator="equal">
      <formula>0</formula>
    </cfRule>
  </conditionalFormatting>
  <conditionalFormatting sqref="N53:N56">
    <cfRule type="cellIs" dxfId="63" priority="30" operator="equal">
      <formula>0</formula>
    </cfRule>
  </conditionalFormatting>
  <conditionalFormatting sqref="N59:N64">
    <cfRule type="cellIs" dxfId="62" priority="29" operator="equal">
      <formula>0</formula>
    </cfRule>
  </conditionalFormatting>
  <conditionalFormatting sqref="N66:N70">
    <cfRule type="cellIs" dxfId="61" priority="28" operator="equal">
      <formula>0</formula>
    </cfRule>
  </conditionalFormatting>
  <conditionalFormatting sqref="N72">
    <cfRule type="cellIs" dxfId="60" priority="27" operator="equal">
      <formula>0</formula>
    </cfRule>
  </conditionalFormatting>
  <conditionalFormatting sqref="N74">
    <cfRule type="cellIs" dxfId="59" priority="26" operator="equal">
      <formula>0</formula>
    </cfRule>
  </conditionalFormatting>
  <conditionalFormatting sqref="N76:N78">
    <cfRule type="cellIs" dxfId="58" priority="25" operator="equal">
      <formula>0</formula>
    </cfRule>
  </conditionalFormatting>
  <conditionalFormatting sqref="N81:N87">
    <cfRule type="cellIs" dxfId="57" priority="24" operator="equal">
      <formula>0</formula>
    </cfRule>
  </conditionalFormatting>
  <conditionalFormatting sqref="N89:N91">
    <cfRule type="cellIs" dxfId="56" priority="23" operator="equal">
      <formula>0</formula>
    </cfRule>
  </conditionalFormatting>
  <conditionalFormatting sqref="N93">
    <cfRule type="cellIs" dxfId="55" priority="22" operator="equal">
      <formula>0</formula>
    </cfRule>
  </conditionalFormatting>
  <conditionalFormatting sqref="N95:N105">
    <cfRule type="cellIs" dxfId="54" priority="21" operator="equal">
      <formula>0</formula>
    </cfRule>
  </conditionalFormatting>
  <conditionalFormatting sqref="N107:N108">
    <cfRule type="cellIs" dxfId="53" priority="20" operator="equal">
      <formula>0</formula>
    </cfRule>
  </conditionalFormatting>
  <conditionalFormatting sqref="N110:N117">
    <cfRule type="cellIs" dxfId="52" priority="19" operator="equal">
      <formula>0</formula>
    </cfRule>
  </conditionalFormatting>
  <conditionalFormatting sqref="N119">
    <cfRule type="cellIs" dxfId="51" priority="18" operator="equal">
      <formula>0</formula>
    </cfRule>
  </conditionalFormatting>
  <conditionalFormatting sqref="N121:N128">
    <cfRule type="cellIs" dxfId="50" priority="17" operator="equal">
      <formula>0</formula>
    </cfRule>
  </conditionalFormatting>
  <conditionalFormatting sqref="N131:N137">
    <cfRule type="cellIs" dxfId="49" priority="16" operator="equal">
      <formula>0</formula>
    </cfRule>
  </conditionalFormatting>
  <conditionalFormatting sqref="N139:N142">
    <cfRule type="cellIs" dxfId="48" priority="15" operator="equal">
      <formula>0</formula>
    </cfRule>
  </conditionalFormatting>
  <conditionalFormatting sqref="N144:N150">
    <cfRule type="cellIs" dxfId="47" priority="14" operator="equal">
      <formula>0</formula>
    </cfRule>
  </conditionalFormatting>
  <conditionalFormatting sqref="N152:N178">
    <cfRule type="cellIs" dxfId="46" priority="13" operator="equal">
      <formula>0</formula>
    </cfRule>
  </conditionalFormatting>
  <conditionalFormatting sqref="N180:N197">
    <cfRule type="cellIs" dxfId="45" priority="12" operator="equal">
      <formula>0</formula>
    </cfRule>
  </conditionalFormatting>
  <conditionalFormatting sqref="N199:N218">
    <cfRule type="cellIs" dxfId="44" priority="11" operator="equal">
      <formula>0</formula>
    </cfRule>
  </conditionalFormatting>
  <conditionalFormatting sqref="N220:N230">
    <cfRule type="cellIs" dxfId="43" priority="10" operator="equal">
      <formula>0</formula>
    </cfRule>
  </conditionalFormatting>
  <conditionalFormatting sqref="N232:N235">
    <cfRule type="cellIs" dxfId="42" priority="9" operator="equal">
      <formula>0</formula>
    </cfRule>
  </conditionalFormatting>
  <conditionalFormatting sqref="N238:N251">
    <cfRule type="cellIs" dxfId="41" priority="8" operator="equal">
      <formula>0</formula>
    </cfRule>
  </conditionalFormatting>
  <conditionalFormatting sqref="N253:N265">
    <cfRule type="cellIs" dxfId="40" priority="7" operator="equal">
      <formula>0</formula>
    </cfRule>
  </conditionalFormatting>
  <conditionalFormatting sqref="N267:N274">
    <cfRule type="cellIs" dxfId="39" priority="6" operator="equal">
      <formula>0</formula>
    </cfRule>
  </conditionalFormatting>
  <conditionalFormatting sqref="N276:N286">
    <cfRule type="cellIs" dxfId="38" priority="5" operator="equal">
      <formula>0</formula>
    </cfRule>
  </conditionalFormatting>
  <conditionalFormatting sqref="N288:N296">
    <cfRule type="cellIs" dxfId="37" priority="4" operator="equal">
      <formula>0</formula>
    </cfRule>
  </conditionalFormatting>
  <conditionalFormatting sqref="N299:N303">
    <cfRule type="cellIs" dxfId="36" priority="3" operator="equal">
      <formula>0</formula>
    </cfRule>
  </conditionalFormatting>
  <conditionalFormatting sqref="N305:N311">
    <cfRule type="cellIs" dxfId="35" priority="2" operator="equal">
      <formula>0</formula>
    </cfRule>
  </conditionalFormatting>
  <conditionalFormatting sqref="N313:N314">
    <cfRule type="cellIs" dxfId="34" priority="1" operator="equal">
      <formula>0</formula>
    </cfRule>
  </conditionalFormatting>
  <printOptions horizontalCentered="1"/>
  <pageMargins left="0.39370078740157483" right="0.39370078740157483" top="0.31496062992125984" bottom="0.19685039370078741" header="0" footer="0"/>
  <pageSetup paperSize="9" scale="59" fitToHeight="0" orientation="landscape" r:id="rId1"/>
  <headerFooter>
    <oddFooter>&amp;L&amp;"Arial,Normal"&amp;8cavs-01&amp;R&amp;"Arial,Normal"&amp;8Página: &amp;P/&amp;N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478"/>
  <sheetViews>
    <sheetView view="pageBreakPreview" topLeftCell="A413" zoomScaleNormal="85" zoomScaleSheetLayoutView="100" workbookViewId="0">
      <selection activeCell="H454" sqref="H454"/>
    </sheetView>
  </sheetViews>
  <sheetFormatPr defaultRowHeight="13.8" x14ac:dyDescent="0.25"/>
  <cols>
    <col min="1" max="1" width="12.19921875" customWidth="1"/>
    <col min="2" max="2" width="18.19921875" customWidth="1"/>
    <col min="3" max="3" width="65.8984375" customWidth="1"/>
    <col min="8" max="8" width="12.69921875" customWidth="1"/>
  </cols>
  <sheetData>
    <row r="1" spans="1:9" ht="14.4" thickBot="1" x14ac:dyDescent="0.3"/>
    <row r="2" spans="1:9" ht="15.6" x14ac:dyDescent="0.25">
      <c r="A2" s="471"/>
      <c r="B2" s="472"/>
      <c r="C2" s="465"/>
      <c r="D2" s="466"/>
      <c r="E2" s="466"/>
      <c r="F2" s="466"/>
      <c r="G2" s="466"/>
      <c r="H2" s="467"/>
      <c r="I2" s="86"/>
    </row>
    <row r="3" spans="1:9" ht="18" customHeight="1" x14ac:dyDescent="0.25">
      <c r="A3" s="475" t="s">
        <v>585</v>
      </c>
      <c r="B3" s="476"/>
      <c r="C3" s="479" t="s">
        <v>590</v>
      </c>
      <c r="D3" s="480"/>
      <c r="E3" s="480"/>
      <c r="F3" s="480"/>
      <c r="G3" s="480"/>
      <c r="H3" s="481"/>
      <c r="I3" s="86"/>
    </row>
    <row r="4" spans="1:9" ht="15.6" x14ac:dyDescent="0.25">
      <c r="A4" s="475" t="s">
        <v>586</v>
      </c>
      <c r="B4" s="476"/>
      <c r="C4" s="482" t="s">
        <v>591</v>
      </c>
      <c r="D4" s="483"/>
      <c r="E4" s="483"/>
      <c r="F4" s="483"/>
      <c r="G4" s="483"/>
      <c r="H4" s="484"/>
      <c r="I4" s="86"/>
    </row>
    <row r="5" spans="1:9" ht="15.6" x14ac:dyDescent="0.25">
      <c r="A5" s="475" t="s">
        <v>587</v>
      </c>
      <c r="B5" s="477"/>
      <c r="C5" s="485" t="s">
        <v>592</v>
      </c>
      <c r="D5" s="485"/>
      <c r="E5" s="485"/>
      <c r="F5" s="485"/>
      <c r="G5" s="485"/>
      <c r="H5" s="486"/>
      <c r="I5" s="86"/>
    </row>
    <row r="6" spans="1:9" ht="16.2" thickBot="1" x14ac:dyDescent="0.3">
      <c r="A6" s="473" t="s">
        <v>588</v>
      </c>
      <c r="B6" s="474"/>
      <c r="C6" s="487" t="s">
        <v>593</v>
      </c>
      <c r="D6" s="487"/>
      <c r="E6" s="487"/>
      <c r="F6" s="488"/>
      <c r="G6" s="79" t="s">
        <v>589</v>
      </c>
      <c r="H6" s="87">
        <v>45838</v>
      </c>
      <c r="I6" s="86"/>
    </row>
    <row r="7" spans="1:9" ht="15" x14ac:dyDescent="0.25">
      <c r="A7" s="468"/>
      <c r="B7" s="469"/>
      <c r="C7" s="469"/>
      <c r="D7" s="469"/>
      <c r="E7" s="469"/>
      <c r="F7" s="469"/>
      <c r="G7" s="469"/>
      <c r="H7" s="470"/>
    </row>
    <row r="8" spans="1:9" ht="15.6" x14ac:dyDescent="0.25">
      <c r="A8" s="478" t="s">
        <v>1079</v>
      </c>
      <c r="B8" s="469"/>
      <c r="C8" s="469"/>
      <c r="D8" s="469"/>
      <c r="E8" s="469"/>
      <c r="F8" s="469"/>
      <c r="G8" s="469"/>
      <c r="H8" s="470"/>
    </row>
    <row r="9" spans="1:9" ht="15.6" x14ac:dyDescent="0.25">
      <c r="A9" s="83"/>
      <c r="B9" s="84"/>
      <c r="C9" s="84"/>
      <c r="D9" s="84"/>
      <c r="E9" s="84"/>
      <c r="F9" s="84"/>
      <c r="G9" s="84"/>
      <c r="H9" s="84"/>
    </row>
    <row r="10" spans="1:9" ht="38.25" hidden="1" customHeight="1" x14ac:dyDescent="0.25">
      <c r="A10" s="80" t="s">
        <v>597</v>
      </c>
      <c r="B10" s="81"/>
      <c r="C10" s="82" t="str">
        <f>VLOOKUP(A10,'Orçamento Sintético'!A4:D301,4,0)</f>
        <v>Placa de obra em chapa aço galvanizado, instalada - Rev 02_01/2022</v>
      </c>
      <c r="D10" s="81"/>
      <c r="E10" s="81"/>
      <c r="F10" s="462" t="s">
        <v>595</v>
      </c>
      <c r="G10" s="462"/>
      <c r="H10" s="85">
        <f>H16</f>
        <v>10</v>
      </c>
    </row>
    <row r="11" spans="1:9" hidden="1" x14ac:dyDescent="0.25">
      <c r="A11" s="65"/>
      <c r="B11" s="65"/>
      <c r="C11" s="66"/>
      <c r="D11" s="67"/>
      <c r="E11" s="67"/>
      <c r="F11" s="463" t="s">
        <v>578</v>
      </c>
      <c r="G11" s="464"/>
      <c r="H11" s="68"/>
    </row>
    <row r="12" spans="1:9" hidden="1" x14ac:dyDescent="0.25">
      <c r="A12" s="65"/>
      <c r="B12" s="65"/>
      <c r="C12" s="66"/>
      <c r="D12" s="67"/>
      <c r="E12" s="67"/>
      <c r="F12" s="456" t="s">
        <v>579</v>
      </c>
      <c r="G12" s="456"/>
      <c r="H12" s="68">
        <f>'Orçamento Sintético'!F7</f>
        <v>10</v>
      </c>
    </row>
    <row r="13" spans="1:9" hidden="1" x14ac:dyDescent="0.25">
      <c r="A13" s="65"/>
      <c r="B13" s="65"/>
      <c r="C13" s="66"/>
      <c r="D13" s="67"/>
      <c r="E13" s="67"/>
      <c r="F13" s="456" t="s">
        <v>596</v>
      </c>
      <c r="G13" s="456"/>
      <c r="H13" s="69">
        <f>H16</f>
        <v>10</v>
      </c>
    </row>
    <row r="14" spans="1:9" hidden="1" x14ac:dyDescent="0.25">
      <c r="A14" s="65"/>
      <c r="B14" s="65"/>
      <c r="C14" s="66"/>
      <c r="D14" s="67"/>
      <c r="E14" s="67"/>
      <c r="F14" s="457" t="s">
        <v>580</v>
      </c>
      <c r="G14" s="457"/>
      <c r="H14" s="69">
        <f>H12-H13</f>
        <v>0</v>
      </c>
    </row>
    <row r="15" spans="1:9" hidden="1" x14ac:dyDescent="0.25">
      <c r="A15" s="65"/>
      <c r="B15" s="65"/>
      <c r="C15" s="66"/>
      <c r="D15" s="70" t="s">
        <v>581</v>
      </c>
      <c r="E15" s="70" t="s">
        <v>582</v>
      </c>
      <c r="F15" s="70" t="s">
        <v>583</v>
      </c>
      <c r="G15" s="71" t="s">
        <v>584</v>
      </c>
      <c r="H15" s="75"/>
      <c r="I15" s="29"/>
    </row>
    <row r="16" spans="1:9" hidden="1" x14ac:dyDescent="0.25">
      <c r="A16" s="65"/>
      <c r="B16" s="72" t="s">
        <v>594</v>
      </c>
      <c r="C16" s="66" t="s">
        <v>607</v>
      </c>
      <c r="D16" s="67"/>
      <c r="E16" s="67">
        <v>2</v>
      </c>
      <c r="F16" s="73">
        <v>5</v>
      </c>
      <c r="G16" s="74"/>
      <c r="H16" s="75">
        <f>E16*F16</f>
        <v>10</v>
      </c>
    </row>
    <row r="17" spans="1:8" hidden="1" x14ac:dyDescent="0.25">
      <c r="A17" s="65"/>
      <c r="B17" s="65"/>
      <c r="C17" s="66"/>
      <c r="D17" s="67"/>
      <c r="E17" s="67"/>
      <c r="F17" s="73"/>
      <c r="G17" s="76"/>
      <c r="H17" s="77"/>
    </row>
    <row r="18" spans="1:8" hidden="1" x14ac:dyDescent="0.25">
      <c r="A18" s="65"/>
      <c r="B18" s="78"/>
      <c r="C18" s="66"/>
      <c r="D18" s="67"/>
      <c r="E18" s="67"/>
      <c r="F18" s="73"/>
      <c r="G18" s="76"/>
      <c r="H18" s="77"/>
    </row>
    <row r="19" spans="1:8" hidden="1" x14ac:dyDescent="0.25"/>
    <row r="20" spans="1:8" hidden="1" x14ac:dyDescent="0.25"/>
    <row r="21" spans="1:8" ht="27" hidden="1" customHeight="1" x14ac:dyDescent="0.25">
      <c r="A21" s="80" t="s">
        <v>600</v>
      </c>
      <c r="B21" s="81"/>
      <c r="C21" s="82" t="str">
        <f>VLOOKUP(A21,'Orçamento Sintético'!A:J,4,0)</f>
        <v>TAPUME COM COMPENSADO DE MADEIRA. AF_05/2018</v>
      </c>
      <c r="D21" s="81"/>
      <c r="E21" s="81"/>
      <c r="F21" s="462" t="s">
        <v>595</v>
      </c>
      <c r="G21" s="462"/>
      <c r="H21" s="85">
        <f>H27</f>
        <v>176</v>
      </c>
    </row>
    <row r="22" spans="1:8" hidden="1" x14ac:dyDescent="0.25">
      <c r="A22" s="65"/>
      <c r="B22" s="65"/>
      <c r="C22" s="66"/>
      <c r="D22" s="67"/>
      <c r="E22" s="67"/>
      <c r="F22" s="463" t="s">
        <v>578</v>
      </c>
      <c r="G22" s="464"/>
      <c r="H22" s="68"/>
    </row>
    <row r="23" spans="1:8" hidden="1" x14ac:dyDescent="0.25">
      <c r="A23" s="65"/>
      <c r="B23" s="65"/>
      <c r="C23" s="66"/>
      <c r="D23" s="67"/>
      <c r="E23" s="67"/>
      <c r="F23" s="456" t="s">
        <v>579</v>
      </c>
      <c r="G23" s="456"/>
      <c r="H23" s="68">
        <v>176</v>
      </c>
    </row>
    <row r="24" spans="1:8" hidden="1" x14ac:dyDescent="0.25">
      <c r="A24" s="65"/>
      <c r="B24" s="65"/>
      <c r="C24" s="66"/>
      <c r="D24" s="67"/>
      <c r="E24" s="67"/>
      <c r="F24" s="456" t="s">
        <v>596</v>
      </c>
      <c r="G24" s="456"/>
      <c r="H24" s="69">
        <f>H27</f>
        <v>176</v>
      </c>
    </row>
    <row r="25" spans="1:8" hidden="1" x14ac:dyDescent="0.25">
      <c r="A25" s="65"/>
      <c r="B25" s="65"/>
      <c r="C25" s="66"/>
      <c r="D25" s="67"/>
      <c r="E25" s="67"/>
      <c r="F25" s="457" t="s">
        <v>580</v>
      </c>
      <c r="G25" s="457"/>
      <c r="H25" s="69">
        <f>H23-H24</f>
        <v>0</v>
      </c>
    </row>
    <row r="26" spans="1:8" hidden="1" x14ac:dyDescent="0.25">
      <c r="A26" s="65"/>
      <c r="B26" s="65"/>
      <c r="C26" s="66"/>
      <c r="D26" s="70" t="s">
        <v>581</v>
      </c>
      <c r="E26" s="70" t="s">
        <v>582</v>
      </c>
      <c r="F26" s="70" t="s">
        <v>583</v>
      </c>
      <c r="G26" s="71" t="s">
        <v>584</v>
      </c>
      <c r="H26" s="75"/>
    </row>
    <row r="27" spans="1:8" hidden="1" x14ac:dyDescent="0.25">
      <c r="A27" s="65"/>
      <c r="B27" s="72" t="s">
        <v>594</v>
      </c>
      <c r="C27" s="66" t="s">
        <v>607</v>
      </c>
      <c r="D27" s="67"/>
      <c r="E27" s="67"/>
      <c r="F27" s="73"/>
      <c r="G27" s="74">
        <v>176</v>
      </c>
      <c r="H27" s="75">
        <f>G27</f>
        <v>176</v>
      </c>
    </row>
    <row r="28" spans="1:8" hidden="1" x14ac:dyDescent="0.25">
      <c r="A28" s="65"/>
      <c r="B28" s="65"/>
      <c r="C28" s="66"/>
      <c r="D28" s="67"/>
      <c r="E28" s="67"/>
      <c r="F28" s="73"/>
      <c r="G28" s="76"/>
      <c r="H28" s="77"/>
    </row>
    <row r="29" spans="1:8" ht="37.5" hidden="1" customHeight="1" x14ac:dyDescent="0.25">
      <c r="A29" s="80" t="s">
        <v>603</v>
      </c>
      <c r="B29" s="81"/>
      <c r="C29" s="82" t="str">
        <f>VLOOKUP(A29,'Orçamento Sintético'!A:J,4,0)</f>
        <v>EXECUÇÃO DE ESCRITÓRIO EM CANTEIRO DE OBRA EM CHAPA DE MADEIRA COMPENSADA, NÃO INCLUSO MOBILIÁRIO E EQUIPAMENTOS. AF_02/2016</v>
      </c>
      <c r="D29" s="81"/>
      <c r="E29" s="81"/>
      <c r="F29" s="462" t="s">
        <v>595</v>
      </c>
      <c r="G29" s="462"/>
      <c r="H29" s="85">
        <f>H35</f>
        <v>20</v>
      </c>
    </row>
    <row r="30" spans="1:8" hidden="1" x14ac:dyDescent="0.25">
      <c r="A30" s="65"/>
      <c r="B30" s="65"/>
      <c r="C30" s="66"/>
      <c r="D30" s="67"/>
      <c r="E30" s="67"/>
      <c r="F30" s="463" t="s">
        <v>578</v>
      </c>
      <c r="G30" s="464"/>
      <c r="H30" s="68"/>
    </row>
    <row r="31" spans="1:8" hidden="1" x14ac:dyDescent="0.25">
      <c r="A31" s="65"/>
      <c r="B31" s="65"/>
      <c r="C31" s="66"/>
      <c r="D31" s="67"/>
      <c r="E31" s="67"/>
      <c r="F31" s="456" t="s">
        <v>579</v>
      </c>
      <c r="G31" s="456"/>
      <c r="H31" s="68">
        <v>20</v>
      </c>
    </row>
    <row r="32" spans="1:8" hidden="1" x14ac:dyDescent="0.25">
      <c r="A32" s="65"/>
      <c r="B32" s="65"/>
      <c r="C32" s="66"/>
      <c r="D32" s="67"/>
      <c r="E32" s="67"/>
      <c r="F32" s="456" t="s">
        <v>596</v>
      </c>
      <c r="G32" s="456"/>
      <c r="H32" s="69">
        <f>H35</f>
        <v>20</v>
      </c>
    </row>
    <row r="33" spans="1:8" hidden="1" x14ac:dyDescent="0.25">
      <c r="A33" s="65"/>
      <c r="B33" s="65"/>
      <c r="C33" s="66"/>
      <c r="D33" s="67"/>
      <c r="E33" s="67"/>
      <c r="F33" s="457" t="s">
        <v>580</v>
      </c>
      <c r="G33" s="457"/>
      <c r="H33" s="69">
        <f>H31-H32</f>
        <v>0</v>
      </c>
    </row>
    <row r="34" spans="1:8" hidden="1" x14ac:dyDescent="0.25">
      <c r="A34" s="65"/>
      <c r="B34" s="65"/>
      <c r="C34" s="66"/>
      <c r="D34" s="70" t="s">
        <v>581</v>
      </c>
      <c r="E34" s="70" t="s">
        <v>582</v>
      </c>
      <c r="F34" s="70" t="s">
        <v>583</v>
      </c>
      <c r="G34" s="71" t="s">
        <v>584</v>
      </c>
      <c r="H34" s="75"/>
    </row>
    <row r="35" spans="1:8" hidden="1" x14ac:dyDescent="0.25">
      <c r="A35" s="65"/>
      <c r="B35" s="72" t="s">
        <v>594</v>
      </c>
      <c r="C35" s="66" t="s">
        <v>608</v>
      </c>
      <c r="D35" s="67"/>
      <c r="E35" s="67"/>
      <c r="F35" s="73"/>
      <c r="G35" s="74">
        <v>20</v>
      </c>
      <c r="H35" s="75">
        <f>G35</f>
        <v>20</v>
      </c>
    </row>
    <row r="36" spans="1:8" hidden="1" x14ac:dyDescent="0.25"/>
    <row r="37" spans="1:8" ht="37.5" hidden="1" customHeight="1" x14ac:dyDescent="0.25">
      <c r="A37" s="80" t="s">
        <v>604</v>
      </c>
      <c r="B37" s="81"/>
      <c r="C37" s="82" t="str">
        <f>VLOOKUP(A37,'Orçamento Sintético'!A:J,4,0)</f>
        <v>EXECUÇÃO DE DEPÓSITO EM CANTEIRO DE OBRA EM CHAPA DE MADEIRA COMPENSADA, NÃO INCLUSO MOBILIÁRIO. AF_04/2016</v>
      </c>
      <c r="D37" s="81"/>
      <c r="E37" s="81"/>
      <c r="F37" s="462" t="s">
        <v>595</v>
      </c>
      <c r="G37" s="462"/>
      <c r="H37" s="85">
        <f>H43</f>
        <v>20</v>
      </c>
    </row>
    <row r="38" spans="1:8" hidden="1" x14ac:dyDescent="0.25">
      <c r="A38" s="65"/>
      <c r="B38" s="65"/>
      <c r="C38" s="66"/>
      <c r="D38" s="67"/>
      <c r="E38" s="67"/>
      <c r="F38" s="463" t="s">
        <v>578</v>
      </c>
      <c r="G38" s="464"/>
      <c r="H38" s="68"/>
    </row>
    <row r="39" spans="1:8" hidden="1" x14ac:dyDescent="0.25">
      <c r="A39" s="65"/>
      <c r="B39" s="65"/>
      <c r="C39" s="66"/>
      <c r="D39" s="67"/>
      <c r="E39" s="67"/>
      <c r="F39" s="456" t="s">
        <v>579</v>
      </c>
      <c r="G39" s="456"/>
      <c r="H39" s="68">
        <v>20</v>
      </c>
    </row>
    <row r="40" spans="1:8" hidden="1" x14ac:dyDescent="0.25">
      <c r="A40" s="65"/>
      <c r="B40" s="65"/>
      <c r="C40" s="66"/>
      <c r="D40" s="67"/>
      <c r="E40" s="67"/>
      <c r="F40" s="456" t="s">
        <v>596</v>
      </c>
      <c r="G40" s="456"/>
      <c r="H40" s="69">
        <f>H43</f>
        <v>20</v>
      </c>
    </row>
    <row r="41" spans="1:8" hidden="1" x14ac:dyDescent="0.25">
      <c r="A41" s="65"/>
      <c r="B41" s="65"/>
      <c r="C41" s="66"/>
      <c r="D41" s="67"/>
      <c r="E41" s="67"/>
      <c r="F41" s="457" t="s">
        <v>580</v>
      </c>
      <c r="G41" s="457"/>
      <c r="H41" s="69">
        <f>H39-H40</f>
        <v>0</v>
      </c>
    </row>
    <row r="42" spans="1:8" hidden="1" x14ac:dyDescent="0.25">
      <c r="A42" s="65"/>
      <c r="B42" s="65"/>
      <c r="C42" s="66"/>
      <c r="D42" s="70" t="s">
        <v>581</v>
      </c>
      <c r="E42" s="70" t="s">
        <v>582</v>
      </c>
      <c r="F42" s="70" t="s">
        <v>583</v>
      </c>
      <c r="G42" s="71" t="s">
        <v>584</v>
      </c>
      <c r="H42" s="75"/>
    </row>
    <row r="43" spans="1:8" hidden="1" x14ac:dyDescent="0.25">
      <c r="A43" s="65"/>
      <c r="B43" s="72" t="s">
        <v>594</v>
      </c>
      <c r="C43" s="66" t="s">
        <v>609</v>
      </c>
      <c r="D43" s="67"/>
      <c r="E43" s="67"/>
      <c r="F43" s="73"/>
      <c r="G43" s="74">
        <v>20</v>
      </c>
      <c r="H43" s="75">
        <f>G43</f>
        <v>20</v>
      </c>
    </row>
    <row r="44" spans="1:8" hidden="1" x14ac:dyDescent="0.25"/>
    <row r="45" spans="1:8" ht="37.5" hidden="1" customHeight="1" x14ac:dyDescent="0.25">
      <c r="A45" s="80" t="s">
        <v>606</v>
      </c>
      <c r="B45" s="81"/>
      <c r="C45" s="82" t="str">
        <f>VLOOKUP(A45,'Orçamento Sintético'!A:J,4,0)</f>
        <v>LIMPEZA MECANIZADA DE CAMADA VEGETAL, VEGETAÇÃO E PEQUENAS ÁRVORES (DIÂMETRO DE TRONCO MENOR QUE 0,20 M), COM TRATOR DE ESTEIRAS.AF_05/2018</v>
      </c>
      <c r="D45" s="81"/>
      <c r="E45" s="81"/>
      <c r="F45" s="462" t="s">
        <v>595</v>
      </c>
      <c r="G45" s="462"/>
      <c r="H45" s="85">
        <f>H51</f>
        <v>4000</v>
      </c>
    </row>
    <row r="46" spans="1:8" hidden="1" x14ac:dyDescent="0.25">
      <c r="A46" s="65"/>
      <c r="B46" s="65"/>
      <c r="C46" s="66"/>
      <c r="D46" s="67"/>
      <c r="E46" s="67"/>
      <c r="F46" s="463" t="s">
        <v>578</v>
      </c>
      <c r="G46" s="464"/>
      <c r="H46" s="68"/>
    </row>
    <row r="47" spans="1:8" hidden="1" x14ac:dyDescent="0.25">
      <c r="A47" s="65"/>
      <c r="B47" s="65"/>
      <c r="C47" s="66"/>
      <c r="D47" s="67"/>
      <c r="E47" s="67"/>
      <c r="F47" s="456" t="s">
        <v>579</v>
      </c>
      <c r="G47" s="456"/>
      <c r="H47" s="68">
        <v>4000</v>
      </c>
    </row>
    <row r="48" spans="1:8" hidden="1" x14ac:dyDescent="0.25">
      <c r="A48" s="65"/>
      <c r="B48" s="65"/>
      <c r="C48" s="66"/>
      <c r="D48" s="67"/>
      <c r="E48" s="67"/>
      <c r="F48" s="456" t="s">
        <v>596</v>
      </c>
      <c r="G48" s="456"/>
      <c r="H48" s="69">
        <f>H51</f>
        <v>4000</v>
      </c>
    </row>
    <row r="49" spans="1:8" hidden="1" x14ac:dyDescent="0.25">
      <c r="A49" s="65"/>
      <c r="B49" s="65"/>
      <c r="C49" s="66"/>
      <c r="D49" s="67"/>
      <c r="E49" s="67"/>
      <c r="F49" s="457" t="s">
        <v>580</v>
      </c>
      <c r="G49" s="457"/>
      <c r="H49" s="69">
        <f>H47-H48</f>
        <v>0</v>
      </c>
    </row>
    <row r="50" spans="1:8" hidden="1" x14ac:dyDescent="0.25">
      <c r="A50" s="65"/>
      <c r="B50" s="65"/>
      <c r="C50" s="66"/>
      <c r="D50" s="70" t="s">
        <v>581</v>
      </c>
      <c r="E50" s="70" t="s">
        <v>582</v>
      </c>
      <c r="F50" s="70" t="s">
        <v>583</v>
      </c>
      <c r="G50" s="71" t="s">
        <v>584</v>
      </c>
      <c r="H50" s="75"/>
    </row>
    <row r="51" spans="1:8" hidden="1" x14ac:dyDescent="0.25">
      <c r="A51" s="65"/>
      <c r="B51" s="72" t="s">
        <v>594</v>
      </c>
      <c r="C51" s="66" t="s">
        <v>610</v>
      </c>
      <c r="D51" s="67"/>
      <c r="E51" s="67"/>
      <c r="F51" s="73"/>
      <c r="G51" s="74">
        <v>4000</v>
      </c>
      <c r="H51" s="75">
        <f>G51</f>
        <v>4000</v>
      </c>
    </row>
    <row r="52" spans="1:8" hidden="1" x14ac:dyDescent="0.25"/>
    <row r="53" spans="1:8" ht="37.5" hidden="1" customHeight="1" x14ac:dyDescent="0.25">
      <c r="A53" s="80" t="s">
        <v>598</v>
      </c>
      <c r="B53" s="81"/>
      <c r="C53" s="82" t="str">
        <f>VLOOKUP(A53,'Orçamento Sintético'!A:J,4,0)</f>
        <v>INSTALAÇÕES PROVISÓRIAS DE LUZ , FORÇA,TELEFONE E LÓGICA</v>
      </c>
      <c r="D53" s="81"/>
      <c r="E53" s="81"/>
      <c r="F53" s="462" t="s">
        <v>611</v>
      </c>
      <c r="G53" s="462"/>
      <c r="H53" s="85">
        <f>H55</f>
        <v>1</v>
      </c>
    </row>
    <row r="54" spans="1:8" hidden="1" x14ac:dyDescent="0.25">
      <c r="A54" s="65"/>
      <c r="B54" s="65"/>
      <c r="C54" s="66"/>
      <c r="D54" s="67"/>
      <c r="E54" s="67"/>
      <c r="F54" s="463" t="s">
        <v>578</v>
      </c>
      <c r="G54" s="464"/>
      <c r="H54" s="68"/>
    </row>
    <row r="55" spans="1:8" hidden="1" x14ac:dyDescent="0.25">
      <c r="A55" s="65"/>
      <c r="B55" s="65"/>
      <c r="C55" s="66"/>
      <c r="D55" s="67"/>
      <c r="E55" s="67"/>
      <c r="F55" s="456" t="s">
        <v>579</v>
      </c>
      <c r="G55" s="456"/>
      <c r="H55" s="68">
        <f>'Orçamento Sintético'!F9</f>
        <v>1</v>
      </c>
    </row>
    <row r="56" spans="1:8" hidden="1" x14ac:dyDescent="0.25">
      <c r="A56" s="65"/>
      <c r="B56" s="65"/>
      <c r="C56" s="66"/>
      <c r="D56" s="67"/>
      <c r="E56" s="67"/>
      <c r="F56" s="456" t="s">
        <v>596</v>
      </c>
      <c r="G56" s="456"/>
      <c r="H56" s="69">
        <f>H59</f>
        <v>1</v>
      </c>
    </row>
    <row r="57" spans="1:8" hidden="1" x14ac:dyDescent="0.25">
      <c r="A57" s="65"/>
      <c r="B57" s="65"/>
      <c r="C57" s="66"/>
      <c r="D57" s="67"/>
      <c r="E57" s="67"/>
      <c r="F57" s="457" t="s">
        <v>580</v>
      </c>
      <c r="G57" s="457"/>
      <c r="H57" s="69">
        <f>H55-H56</f>
        <v>0</v>
      </c>
    </row>
    <row r="58" spans="1:8" hidden="1" x14ac:dyDescent="0.25">
      <c r="A58" s="65"/>
      <c r="B58" s="65"/>
      <c r="C58" s="66"/>
      <c r="D58" s="70" t="s">
        <v>581</v>
      </c>
      <c r="E58" s="70" t="s">
        <v>582</v>
      </c>
      <c r="F58" s="70" t="s">
        <v>583</v>
      </c>
      <c r="G58" s="71" t="s">
        <v>584</v>
      </c>
      <c r="H58" s="75"/>
    </row>
    <row r="59" spans="1:8" hidden="1" x14ac:dyDescent="0.25">
      <c r="A59" s="65"/>
      <c r="B59" s="72" t="s">
        <v>612</v>
      </c>
      <c r="C59" s="66" t="s">
        <v>613</v>
      </c>
      <c r="D59" s="67"/>
      <c r="E59" s="67"/>
      <c r="F59" s="73"/>
      <c r="G59" s="74">
        <v>1</v>
      </c>
      <c r="H59" s="75">
        <f>G59</f>
        <v>1</v>
      </c>
    </row>
    <row r="60" spans="1:8" hidden="1" x14ac:dyDescent="0.25"/>
    <row r="61" spans="1:8" ht="37.5" hidden="1" customHeight="1" x14ac:dyDescent="0.25">
      <c r="A61" s="80" t="s">
        <v>601</v>
      </c>
      <c r="B61" s="81"/>
      <c r="C61" s="82" t="str">
        <f>VLOOKUP(A61,'Orçamento Sintético'!A:J,4,0)</f>
        <v>EXECUÇÃO DE RESERVATÓRIO ELEVADO DE ÁGUA (1000 LITROS) EM CANTEIRO DE OBRA, APOIADO EM ESTRUTURA DE MADEIRA. AF_02/2016_PA</v>
      </c>
      <c r="D61" s="81"/>
      <c r="E61" s="81"/>
      <c r="F61" s="462" t="s">
        <v>611</v>
      </c>
      <c r="G61" s="462"/>
      <c r="H61" s="85">
        <f>H67</f>
        <v>1</v>
      </c>
    </row>
    <row r="62" spans="1:8" hidden="1" x14ac:dyDescent="0.25">
      <c r="A62" s="65"/>
      <c r="B62" s="65"/>
      <c r="C62" s="66"/>
      <c r="D62" s="67"/>
      <c r="E62" s="67"/>
      <c r="F62" s="463" t="s">
        <v>578</v>
      </c>
      <c r="G62" s="464"/>
      <c r="H62" s="68"/>
    </row>
    <row r="63" spans="1:8" hidden="1" x14ac:dyDescent="0.25">
      <c r="A63" s="65"/>
      <c r="B63" s="65"/>
      <c r="C63" s="66"/>
      <c r="D63" s="67"/>
      <c r="E63" s="67"/>
      <c r="F63" s="456" t="s">
        <v>579</v>
      </c>
      <c r="G63" s="456"/>
      <c r="H63" s="68">
        <f>'Orçamento Sintético'!F10</f>
        <v>1</v>
      </c>
    </row>
    <row r="64" spans="1:8" hidden="1" x14ac:dyDescent="0.25">
      <c r="A64" s="65"/>
      <c r="B64" s="65"/>
      <c r="C64" s="66"/>
      <c r="D64" s="67"/>
      <c r="E64" s="67"/>
      <c r="F64" s="456" t="s">
        <v>596</v>
      </c>
      <c r="G64" s="456"/>
      <c r="H64" s="69">
        <f>H67</f>
        <v>1</v>
      </c>
    </row>
    <row r="65" spans="1:8" hidden="1" x14ac:dyDescent="0.25">
      <c r="A65" s="65"/>
      <c r="B65" s="65"/>
      <c r="C65" s="66"/>
      <c r="D65" s="67"/>
      <c r="E65" s="67"/>
      <c r="F65" s="457" t="s">
        <v>580</v>
      </c>
      <c r="G65" s="457"/>
      <c r="H65" s="69">
        <f>H63-H64</f>
        <v>0</v>
      </c>
    </row>
    <row r="66" spans="1:8" hidden="1" x14ac:dyDescent="0.25">
      <c r="A66" s="65"/>
      <c r="B66" s="65"/>
      <c r="C66" s="66"/>
      <c r="D66" s="70" t="s">
        <v>581</v>
      </c>
      <c r="E66" s="70" t="s">
        <v>582</v>
      </c>
      <c r="F66" s="70" t="s">
        <v>583</v>
      </c>
      <c r="G66" s="71" t="s">
        <v>584</v>
      </c>
      <c r="H66" s="75"/>
    </row>
    <row r="67" spans="1:8" hidden="1" x14ac:dyDescent="0.25">
      <c r="A67" s="65"/>
      <c r="B67" s="72" t="s">
        <v>612</v>
      </c>
      <c r="C67" s="66" t="s">
        <v>614</v>
      </c>
      <c r="D67" s="67"/>
      <c r="E67" s="67"/>
      <c r="F67" s="73"/>
      <c r="G67" s="74">
        <v>1</v>
      </c>
      <c r="H67" s="75">
        <f>G67</f>
        <v>1</v>
      </c>
    </row>
    <row r="68" spans="1:8" hidden="1" x14ac:dyDescent="0.25"/>
    <row r="69" spans="1:8" ht="37.5" hidden="1" customHeight="1" x14ac:dyDescent="0.25">
      <c r="A69" s="80" t="s">
        <v>599</v>
      </c>
      <c r="B69" s="81"/>
      <c r="C69" s="82" t="str">
        <f>VLOOKUP(A69,'Orçamento Sintético'!A:J,4,0)</f>
        <v>FOSSA SÉPTICA E SUMIDOURO  EM ALVENARIA</v>
      </c>
      <c r="D69" s="81"/>
      <c r="E69" s="81"/>
      <c r="F69" s="462" t="s">
        <v>611</v>
      </c>
      <c r="G69" s="462"/>
      <c r="H69" s="85">
        <f>H75</f>
        <v>1</v>
      </c>
    </row>
    <row r="70" spans="1:8" hidden="1" x14ac:dyDescent="0.25">
      <c r="A70" s="65"/>
      <c r="B70" s="65"/>
      <c r="C70" s="66"/>
      <c r="D70" s="67"/>
      <c r="E70" s="67"/>
      <c r="F70" s="463" t="s">
        <v>578</v>
      </c>
      <c r="G70" s="464"/>
      <c r="H70" s="68"/>
    </row>
    <row r="71" spans="1:8" hidden="1" x14ac:dyDescent="0.25">
      <c r="A71" s="65"/>
      <c r="B71" s="65"/>
      <c r="C71" s="66"/>
      <c r="D71" s="67"/>
      <c r="E71" s="67"/>
      <c r="F71" s="456" t="s">
        <v>579</v>
      </c>
      <c r="G71" s="456"/>
      <c r="H71" s="68">
        <f>'Orçamento Sintético'!F11</f>
        <v>1</v>
      </c>
    </row>
    <row r="72" spans="1:8" hidden="1" x14ac:dyDescent="0.25">
      <c r="A72" s="65"/>
      <c r="B72" s="65"/>
      <c r="C72" s="66"/>
      <c r="D72" s="67"/>
      <c r="E72" s="67"/>
      <c r="F72" s="456" t="s">
        <v>596</v>
      </c>
      <c r="G72" s="456"/>
      <c r="H72" s="69">
        <f>H75</f>
        <v>1</v>
      </c>
    </row>
    <row r="73" spans="1:8" hidden="1" x14ac:dyDescent="0.25">
      <c r="A73" s="65"/>
      <c r="B73" s="65"/>
      <c r="C73" s="66"/>
      <c r="D73" s="67"/>
      <c r="E73" s="67"/>
      <c r="F73" s="457" t="s">
        <v>580</v>
      </c>
      <c r="G73" s="457"/>
      <c r="H73" s="69">
        <f>H71-H72</f>
        <v>0</v>
      </c>
    </row>
    <row r="74" spans="1:8" hidden="1" x14ac:dyDescent="0.25">
      <c r="A74" s="65"/>
      <c r="B74" s="65"/>
      <c r="C74" s="66"/>
      <c r="D74" s="70" t="s">
        <v>581</v>
      </c>
      <c r="E74" s="70" t="s">
        <v>582</v>
      </c>
      <c r="F74" s="70" t="s">
        <v>583</v>
      </c>
      <c r="G74" s="71" t="s">
        <v>584</v>
      </c>
      <c r="H74" s="75"/>
    </row>
    <row r="75" spans="1:8" hidden="1" x14ac:dyDescent="0.25">
      <c r="A75" s="65"/>
      <c r="B75" s="72" t="s">
        <v>612</v>
      </c>
      <c r="C75" s="66" t="s">
        <v>615</v>
      </c>
      <c r="D75" s="67"/>
      <c r="E75" s="67"/>
      <c r="F75" s="73"/>
      <c r="G75" s="74">
        <v>1</v>
      </c>
      <c r="H75" s="75">
        <f>G75</f>
        <v>1</v>
      </c>
    </row>
    <row r="76" spans="1:8" hidden="1" x14ac:dyDescent="0.25"/>
    <row r="77" spans="1:8" ht="37.5" hidden="1" customHeight="1" x14ac:dyDescent="0.25">
      <c r="A77" s="80" t="s">
        <v>602</v>
      </c>
      <c r="B77" s="81"/>
      <c r="C77" s="82" t="str">
        <f>VLOOKUP(A77,'Orçamento Sintético'!A:J,4,0)</f>
        <v>EXECUÇÃO DE SANITÁRIO E VESTIÁRIO EM CANTEIRO DE OBRA EM CHAPA DE MADEIRA COMPENSADA, NÃO INCLUSO MOBILIÁRIO. AF_02/2016</v>
      </c>
      <c r="D77" s="81"/>
      <c r="E77" s="81"/>
      <c r="F77" s="462" t="s">
        <v>611</v>
      </c>
      <c r="G77" s="462"/>
      <c r="H77" s="85">
        <f>H83</f>
        <v>2.52</v>
      </c>
    </row>
    <row r="78" spans="1:8" hidden="1" x14ac:dyDescent="0.25">
      <c r="A78" s="65"/>
      <c r="B78" s="65"/>
      <c r="C78" s="66"/>
      <c r="D78" s="67"/>
      <c r="E78" s="67"/>
      <c r="F78" s="463" t="s">
        <v>578</v>
      </c>
      <c r="G78" s="464"/>
      <c r="H78" s="68"/>
    </row>
    <row r="79" spans="1:8" hidden="1" x14ac:dyDescent="0.25">
      <c r="A79" s="65"/>
      <c r="B79" s="65"/>
      <c r="C79" s="66"/>
      <c r="D79" s="67"/>
      <c r="E79" s="67"/>
      <c r="F79" s="456" t="s">
        <v>579</v>
      </c>
      <c r="G79" s="456"/>
      <c r="H79" s="68">
        <f>VLOOKUP(A77,'Orçamento Sintético'!A:J,6,0)</f>
        <v>2.52</v>
      </c>
    </row>
    <row r="80" spans="1:8" hidden="1" x14ac:dyDescent="0.25">
      <c r="A80" s="65"/>
      <c r="B80" s="65"/>
      <c r="C80" s="66"/>
      <c r="D80" s="67"/>
      <c r="E80" s="67"/>
      <c r="F80" s="456" t="s">
        <v>596</v>
      </c>
      <c r="G80" s="456"/>
      <c r="H80" s="69">
        <f>H83</f>
        <v>2.52</v>
      </c>
    </row>
    <row r="81" spans="1:9" hidden="1" x14ac:dyDescent="0.25">
      <c r="A81" s="65"/>
      <c r="B81" s="65"/>
      <c r="C81" s="66"/>
      <c r="D81" s="67"/>
      <c r="E81" s="67"/>
      <c r="F81" s="457" t="s">
        <v>580</v>
      </c>
      <c r="G81" s="457"/>
      <c r="H81" s="69">
        <f>H79-H80</f>
        <v>0</v>
      </c>
    </row>
    <row r="82" spans="1:9" hidden="1" x14ac:dyDescent="0.25">
      <c r="A82" s="65"/>
      <c r="B82" s="65"/>
      <c r="C82" s="66"/>
      <c r="D82" s="70" t="s">
        <v>581</v>
      </c>
      <c r="E82" s="70" t="s">
        <v>582</v>
      </c>
      <c r="F82" s="70" t="s">
        <v>583</v>
      </c>
      <c r="G82" s="71" t="s">
        <v>584</v>
      </c>
      <c r="H82" s="75"/>
    </row>
    <row r="83" spans="1:9" hidden="1" x14ac:dyDescent="0.25">
      <c r="A83" s="65"/>
      <c r="B83" s="72" t="s">
        <v>612</v>
      </c>
      <c r="C83" s="66" t="s">
        <v>616</v>
      </c>
      <c r="D83" s="67"/>
      <c r="E83" s="67"/>
      <c r="F83" s="73"/>
      <c r="G83" s="74">
        <v>2.52</v>
      </c>
      <c r="H83" s="75">
        <f>G83</f>
        <v>2.52</v>
      </c>
    </row>
    <row r="84" spans="1:9" hidden="1" x14ac:dyDescent="0.25"/>
    <row r="85" spans="1:9" ht="37.5" customHeight="1" x14ac:dyDescent="0.25">
      <c r="A85" s="80" t="s">
        <v>605</v>
      </c>
      <c r="B85" s="81"/>
      <c r="C85" s="82" t="str">
        <f>VLOOKUP(A85,'Orçamento Sintético'!A:J,4,0)</f>
        <v>LOCAÇÃO DA OBRA - EXECUÇÃO DE GABARITO</v>
      </c>
      <c r="D85" s="81"/>
      <c r="E85" s="81" t="str">
        <f>VLOOKUP(A85,'Orçamento Sintético'!A:J,5,0)</f>
        <v>m²</v>
      </c>
      <c r="F85" s="462" t="s">
        <v>966</v>
      </c>
      <c r="G85" s="462"/>
      <c r="H85" s="360">
        <f>SUM(H94:H98)</f>
        <v>386.84799999999996</v>
      </c>
      <c r="I85" s="216"/>
    </row>
    <row r="86" spans="1:9" x14ac:dyDescent="0.25">
      <c r="A86" s="65"/>
      <c r="B86" s="65"/>
      <c r="C86" s="66"/>
      <c r="D86" s="67"/>
      <c r="E86" s="67"/>
      <c r="F86" s="463" t="s">
        <v>578</v>
      </c>
      <c r="G86" s="464"/>
      <c r="H86" s="68"/>
    </row>
    <row r="87" spans="1:9" x14ac:dyDescent="0.25">
      <c r="A87" s="65"/>
      <c r="B87" s="65"/>
      <c r="C87" s="66"/>
      <c r="D87" s="67"/>
      <c r="E87" s="67"/>
      <c r="F87" s="456" t="s">
        <v>579</v>
      </c>
      <c r="G87" s="456"/>
      <c r="H87" s="68">
        <f>VLOOKUP(A85,'Orçamento Sintético'!A:J,6,0)</f>
        <v>1129.6400000000001</v>
      </c>
    </row>
    <row r="88" spans="1:9" x14ac:dyDescent="0.25">
      <c r="A88" s="65"/>
      <c r="B88" s="65"/>
      <c r="C88" s="66"/>
      <c r="D88" s="67"/>
      <c r="E88" s="67"/>
      <c r="F88" s="456" t="s">
        <v>596</v>
      </c>
      <c r="G88" s="456"/>
      <c r="H88" s="69">
        <f>SUM(H91:H98)</f>
        <v>1129.6391999999998</v>
      </c>
    </row>
    <row r="89" spans="1:9" x14ac:dyDescent="0.25">
      <c r="A89" s="65"/>
      <c r="B89" s="65"/>
      <c r="C89" s="66"/>
      <c r="D89" s="67"/>
      <c r="E89" s="67"/>
      <c r="F89" s="457" t="s">
        <v>580</v>
      </c>
      <c r="G89" s="457"/>
      <c r="H89" s="264">
        <f>H87-H88</f>
        <v>8.0000000025393092E-4</v>
      </c>
    </row>
    <row r="90" spans="1:9" x14ac:dyDescent="0.25">
      <c r="A90" s="65"/>
      <c r="B90" s="65"/>
      <c r="C90" s="66"/>
      <c r="D90" s="70" t="s">
        <v>971</v>
      </c>
      <c r="E90" s="70" t="s">
        <v>972</v>
      </c>
      <c r="F90" s="70" t="s">
        <v>976</v>
      </c>
      <c r="G90" s="71" t="s">
        <v>584</v>
      </c>
      <c r="H90" s="75"/>
    </row>
    <row r="91" spans="1:9" hidden="1" x14ac:dyDescent="0.25">
      <c r="A91" s="65"/>
      <c r="B91" s="72" t="s">
        <v>612</v>
      </c>
      <c r="C91" s="66" t="s">
        <v>617</v>
      </c>
      <c r="D91" s="67">
        <v>57.16</v>
      </c>
      <c r="E91" s="67"/>
      <c r="F91" s="73">
        <v>7.82</v>
      </c>
      <c r="G91" s="74"/>
      <c r="H91" s="96">
        <f>D91*F91</f>
        <v>446.99119999999999</v>
      </c>
    </row>
    <row r="92" spans="1:9" hidden="1" x14ac:dyDescent="0.25">
      <c r="C92" t="s">
        <v>618</v>
      </c>
      <c r="D92">
        <v>17.399999999999999</v>
      </c>
      <c r="F92">
        <v>17</v>
      </c>
      <c r="H92">
        <f>F92*D92</f>
        <v>295.79999999999995</v>
      </c>
    </row>
    <row r="93" spans="1:9" hidden="1" x14ac:dyDescent="0.25"/>
    <row r="94" spans="1:9" x14ac:dyDescent="0.25">
      <c r="B94" s="458" t="s">
        <v>980</v>
      </c>
      <c r="C94" s="182" t="s">
        <v>964</v>
      </c>
      <c r="D94">
        <f>15.75+0.6</f>
        <v>16.350000000000001</v>
      </c>
      <c r="F94">
        <f>6.3+1.5</f>
        <v>7.8</v>
      </c>
      <c r="H94">
        <f>D94*F94</f>
        <v>127.53</v>
      </c>
    </row>
    <row r="95" spans="1:9" x14ac:dyDescent="0.25">
      <c r="B95" s="458"/>
      <c r="C95" s="182" t="s">
        <v>965</v>
      </c>
      <c r="D95">
        <f>15.75+0.6</f>
        <v>16.350000000000001</v>
      </c>
      <c r="F95">
        <f>6.3+1.5</f>
        <v>7.8</v>
      </c>
      <c r="H95">
        <f>D95*F95</f>
        <v>127.53</v>
      </c>
    </row>
    <row r="96" spans="1:9" x14ac:dyDescent="0.25">
      <c r="B96" s="458"/>
      <c r="C96" s="182" t="s">
        <v>983</v>
      </c>
      <c r="D96">
        <f>3.2+2.04</f>
        <v>5.24</v>
      </c>
      <c r="F96">
        <f>2.85+0.3</f>
        <v>3.15</v>
      </c>
      <c r="G96">
        <v>3</v>
      </c>
      <c r="H96">
        <f>G96*F96*D96</f>
        <v>49.518000000000001</v>
      </c>
    </row>
    <row r="97" spans="1:8" x14ac:dyDescent="0.25">
      <c r="B97" s="458"/>
      <c r="C97" s="182" t="s">
        <v>984</v>
      </c>
      <c r="D97">
        <f>2.75+3</f>
        <v>5.75</v>
      </c>
      <c r="F97">
        <v>8</v>
      </c>
      <c r="H97">
        <f>F97*D97</f>
        <v>46</v>
      </c>
    </row>
    <row r="98" spans="1:8" x14ac:dyDescent="0.25">
      <c r="B98" s="458"/>
      <c r="C98" s="182" t="s">
        <v>985</v>
      </c>
      <c r="H98">
        <v>36.270000000000003</v>
      </c>
    </row>
    <row r="100" spans="1:8" ht="37.5" customHeight="1" x14ac:dyDescent="0.25">
      <c r="A100" s="80" t="s">
        <v>619</v>
      </c>
      <c r="B100" s="81"/>
      <c r="C100" s="82" t="str">
        <f>VLOOKUP(A100,'Orçamento Sintético'!A:J,4,0)</f>
        <v>ATERRO MANUAL DE VALAS COM SOLO ARGILO-ARENOSO E COMPACTAÇÃO MECANIZADA. AF_05/2016</v>
      </c>
      <c r="D100" s="81"/>
      <c r="E100" s="81"/>
      <c r="F100" s="462" t="s">
        <v>966</v>
      </c>
      <c r="G100" s="462"/>
      <c r="H100" s="85">
        <f>SUM(H109:H114)</f>
        <v>114.12049999999999</v>
      </c>
    </row>
    <row r="101" spans="1:8" x14ac:dyDescent="0.25">
      <c r="A101" s="65"/>
      <c r="B101" s="65"/>
      <c r="C101" s="66"/>
      <c r="D101" s="67"/>
      <c r="E101" s="67"/>
      <c r="F101" s="463" t="s">
        <v>578</v>
      </c>
      <c r="G101" s="464"/>
      <c r="H101" s="68"/>
    </row>
    <row r="102" spans="1:8" x14ac:dyDescent="0.25">
      <c r="A102" s="65"/>
      <c r="B102" s="65"/>
      <c r="C102" s="66"/>
      <c r="D102" s="67"/>
      <c r="E102" s="67"/>
      <c r="F102" s="456" t="s">
        <v>579</v>
      </c>
      <c r="G102" s="456"/>
      <c r="H102" s="68">
        <f>VLOOKUP(A100,'Orçamento Sintético'!A:J,6,0)</f>
        <v>168.5</v>
      </c>
    </row>
    <row r="103" spans="1:8" x14ac:dyDescent="0.25">
      <c r="A103" s="65"/>
      <c r="B103" s="65"/>
      <c r="C103" s="66"/>
      <c r="D103" s="67"/>
      <c r="E103" s="67"/>
      <c r="F103" s="456" t="s">
        <v>596</v>
      </c>
      <c r="G103" s="456"/>
      <c r="H103" s="69">
        <f>H106+H107+H109+H110+H111+H112+H113+H114</f>
        <v>168.5033</v>
      </c>
    </row>
    <row r="104" spans="1:8" x14ac:dyDescent="0.25">
      <c r="A104" s="65"/>
      <c r="B104" s="65"/>
      <c r="C104" s="66"/>
      <c r="D104" s="67"/>
      <c r="E104" s="67"/>
      <c r="F104" s="457" t="s">
        <v>580</v>
      </c>
      <c r="G104" s="457"/>
      <c r="H104" s="264">
        <f>H102-H103</f>
        <v>-3.2999999999958618E-3</v>
      </c>
    </row>
    <row r="105" spans="1:8" x14ac:dyDescent="0.25">
      <c r="A105" s="65"/>
      <c r="B105" s="65"/>
      <c r="C105" s="66"/>
      <c r="D105" s="70" t="s">
        <v>581</v>
      </c>
      <c r="E105" s="70" t="s">
        <v>582</v>
      </c>
      <c r="F105" s="70" t="s">
        <v>583</v>
      </c>
      <c r="G105" s="71" t="s">
        <v>584</v>
      </c>
      <c r="H105" s="75"/>
    </row>
    <row r="106" spans="1:8" hidden="1" x14ac:dyDescent="0.25">
      <c r="A106" s="65"/>
      <c r="B106" s="72" t="s">
        <v>612</v>
      </c>
      <c r="C106" s="66" t="s">
        <v>621</v>
      </c>
      <c r="D106" s="67">
        <v>1.1000000000000001</v>
      </c>
      <c r="E106" s="67">
        <v>1.1000000000000001</v>
      </c>
      <c r="F106" s="73">
        <v>0.66</v>
      </c>
      <c r="G106" s="181">
        <v>58</v>
      </c>
      <c r="H106" s="96">
        <f>G106*F106*E106*D106</f>
        <v>46.31880000000001</v>
      </c>
    </row>
    <row r="107" spans="1:8" hidden="1" x14ac:dyDescent="0.25">
      <c r="C107" s="182" t="s">
        <v>967</v>
      </c>
      <c r="D107" s="108">
        <v>0.8</v>
      </c>
      <c r="E107" s="108">
        <v>0.7</v>
      </c>
      <c r="F107" s="108">
        <v>0.8</v>
      </c>
      <c r="G107" s="108">
        <v>18</v>
      </c>
      <c r="H107" s="96">
        <f>G107*F107*E107*D107</f>
        <v>8.0640000000000001</v>
      </c>
    </row>
    <row r="108" spans="1:8" hidden="1" x14ac:dyDescent="0.25">
      <c r="D108" s="108"/>
      <c r="E108" s="108"/>
      <c r="F108" s="108"/>
      <c r="G108" s="108"/>
      <c r="H108" s="96"/>
    </row>
    <row r="109" spans="1:8" x14ac:dyDescent="0.25">
      <c r="B109" s="458" t="s">
        <v>980</v>
      </c>
      <c r="C109" s="182" t="s">
        <v>987</v>
      </c>
      <c r="D109">
        <v>0.65</v>
      </c>
      <c r="E109" s="108">
        <v>0.7</v>
      </c>
      <c r="F109" s="108">
        <v>0.75</v>
      </c>
      <c r="G109" s="108">
        <v>14</v>
      </c>
      <c r="H109" s="96">
        <f>G109*F109*E109*D109</f>
        <v>4.7774999999999999</v>
      </c>
    </row>
    <row r="110" spans="1:8" x14ac:dyDescent="0.25">
      <c r="B110" s="458"/>
      <c r="C110" s="182" t="s">
        <v>988</v>
      </c>
      <c r="D110" s="95">
        <v>0.6</v>
      </c>
      <c r="E110" s="108">
        <v>0.7</v>
      </c>
      <c r="F110" s="108">
        <v>0.65</v>
      </c>
      <c r="G110" s="108">
        <v>16</v>
      </c>
      <c r="H110" s="96">
        <f t="shared" ref="H110:H113" si="0">G110*F110*E110*D110</f>
        <v>4.3679999999999994</v>
      </c>
    </row>
    <row r="111" spans="1:8" x14ac:dyDescent="0.25">
      <c r="B111" s="458"/>
      <c r="C111" s="182" t="s">
        <v>989</v>
      </c>
      <c r="D111" s="95">
        <v>0.6</v>
      </c>
      <c r="E111" s="108">
        <v>0.7</v>
      </c>
      <c r="F111" s="224">
        <v>0.6</v>
      </c>
      <c r="G111" s="108">
        <f>4*3</f>
        <v>12</v>
      </c>
      <c r="H111" s="96">
        <f t="shared" si="0"/>
        <v>3.0239999999999996</v>
      </c>
    </row>
    <row r="112" spans="1:8" x14ac:dyDescent="0.25">
      <c r="B112" s="458"/>
      <c r="C112" s="182" t="s">
        <v>990</v>
      </c>
      <c r="D112" s="95">
        <v>0.45</v>
      </c>
      <c r="E112" s="108">
        <v>0.7</v>
      </c>
      <c r="F112" s="108">
        <v>0.3</v>
      </c>
      <c r="G112" s="108">
        <v>8</v>
      </c>
      <c r="H112" s="96">
        <f t="shared" si="0"/>
        <v>0.75600000000000001</v>
      </c>
    </row>
    <row r="113" spans="1:9" x14ac:dyDescent="0.25">
      <c r="B113" s="458"/>
      <c r="C113" s="182" t="s">
        <v>991</v>
      </c>
      <c r="D113" s="95">
        <v>0.45</v>
      </c>
      <c r="E113" s="108">
        <v>0.7</v>
      </c>
      <c r="F113" s="108">
        <v>0.3</v>
      </c>
      <c r="G113" s="222">
        <v>10</v>
      </c>
      <c r="H113" s="96">
        <f t="shared" si="0"/>
        <v>0.94499999999999984</v>
      </c>
    </row>
    <row r="114" spans="1:9" x14ac:dyDescent="0.25">
      <c r="B114" s="458"/>
      <c r="C114" s="182" t="s">
        <v>1071</v>
      </c>
      <c r="D114" s="95">
        <v>8</v>
      </c>
      <c r="E114" s="108">
        <v>1</v>
      </c>
      <c r="F114" s="108">
        <v>6.26</v>
      </c>
      <c r="G114" s="108">
        <v>2</v>
      </c>
      <c r="H114" s="229">
        <v>100.25</v>
      </c>
    </row>
    <row r="116" spans="1:9" ht="37.5" customHeight="1" x14ac:dyDescent="0.25">
      <c r="A116" s="80" t="s">
        <v>620</v>
      </c>
      <c r="B116" s="81"/>
      <c r="C116" s="82" t="str">
        <f>VLOOKUP(A116,'Orçamento Sintético'!A:J,4,0)</f>
        <v>ESCAVAÇÃO MANUAL DE VALA COM PROFUNDIDADE MENOR OU IGUAL A 1,30 M. AF_02/2021</v>
      </c>
      <c r="D116" s="81"/>
      <c r="E116" s="81" t="str">
        <f>VLOOKUP(A116,'Orçamento Sintético'!A:J,5,0)</f>
        <v>m³</v>
      </c>
      <c r="F116" s="462" t="s">
        <v>966</v>
      </c>
      <c r="G116" s="462"/>
      <c r="H116" s="85">
        <f>SUM(H129:H138)</f>
        <v>14.838799999999999</v>
      </c>
      <c r="I116" s="216"/>
    </row>
    <row r="117" spans="1:9" x14ac:dyDescent="0.25">
      <c r="A117" s="65"/>
      <c r="B117" s="65"/>
      <c r="C117" s="66"/>
      <c r="D117" s="67"/>
      <c r="E117" s="67"/>
      <c r="F117" s="463" t="s">
        <v>578</v>
      </c>
      <c r="G117" s="464"/>
      <c r="H117" s="68"/>
    </row>
    <row r="118" spans="1:9" x14ac:dyDescent="0.25">
      <c r="A118" s="65"/>
      <c r="B118" s="65"/>
      <c r="C118" s="66"/>
      <c r="D118" s="67"/>
      <c r="E118" s="67"/>
      <c r="F118" s="456" t="s">
        <v>579</v>
      </c>
      <c r="G118" s="456"/>
      <c r="H118" s="68">
        <f>VLOOKUP(A116,'Orçamento Sintético'!A:J,6,0)</f>
        <v>94.33</v>
      </c>
    </row>
    <row r="119" spans="1:9" x14ac:dyDescent="0.25">
      <c r="A119" s="65"/>
      <c r="B119" s="65"/>
      <c r="C119" s="66"/>
      <c r="D119" s="67"/>
      <c r="E119" s="67"/>
      <c r="F119" s="456" t="s">
        <v>596</v>
      </c>
      <c r="G119" s="456"/>
      <c r="H119" s="69">
        <f>SUM(H122:H138)</f>
        <v>94.333200000000005</v>
      </c>
    </row>
    <row r="120" spans="1:9" x14ac:dyDescent="0.25">
      <c r="A120" s="65"/>
      <c r="B120" s="65"/>
      <c r="C120" s="66"/>
      <c r="D120" s="67"/>
      <c r="E120" s="67"/>
      <c r="F120" s="457" t="s">
        <v>580</v>
      </c>
      <c r="G120" s="457"/>
      <c r="H120" s="264">
        <f>H118-H119</f>
        <v>-3.200000000006753E-3</v>
      </c>
    </row>
    <row r="121" spans="1:9" x14ac:dyDescent="0.25">
      <c r="A121" s="65"/>
      <c r="B121" s="65"/>
      <c r="C121" s="66"/>
      <c r="D121" s="70" t="s">
        <v>971</v>
      </c>
      <c r="E121" s="70" t="s">
        <v>972</v>
      </c>
      <c r="F121" s="70" t="s">
        <v>976</v>
      </c>
      <c r="G121" s="71" t="s">
        <v>584</v>
      </c>
      <c r="H121" s="75"/>
    </row>
    <row r="122" spans="1:9" hidden="1" x14ac:dyDescent="0.25">
      <c r="A122" s="65"/>
      <c r="B122" s="72" t="s">
        <v>612</v>
      </c>
      <c r="C122" s="66" t="s">
        <v>623</v>
      </c>
      <c r="D122" s="67">
        <v>1</v>
      </c>
      <c r="E122" s="67">
        <v>0.7</v>
      </c>
      <c r="F122" s="73">
        <v>1</v>
      </c>
      <c r="G122" s="74">
        <v>58</v>
      </c>
      <c r="H122" s="96">
        <f>D122*E122*F122*G122</f>
        <v>40.599999999999994</v>
      </c>
    </row>
    <row r="123" spans="1:9" hidden="1" x14ac:dyDescent="0.25">
      <c r="C123" s="66" t="s">
        <v>622</v>
      </c>
      <c r="D123" s="67">
        <v>129.96</v>
      </c>
      <c r="E123" s="67">
        <v>0.4</v>
      </c>
      <c r="F123" s="73">
        <v>0.4</v>
      </c>
      <c r="G123" s="74"/>
      <c r="H123" s="96">
        <f>D123*E123*F123</f>
        <v>20.793600000000005</v>
      </c>
    </row>
    <row r="124" spans="1:9" hidden="1" x14ac:dyDescent="0.25">
      <c r="C124" s="66" t="s">
        <v>624</v>
      </c>
      <c r="D124" s="67">
        <v>0.8</v>
      </c>
      <c r="E124" s="67">
        <v>0.7</v>
      </c>
      <c r="F124" s="73">
        <v>0.8</v>
      </c>
      <c r="G124" s="74">
        <v>18</v>
      </c>
      <c r="H124" s="96">
        <f>D124*E124*F124*G124</f>
        <v>8.0640000000000001</v>
      </c>
    </row>
    <row r="125" spans="1:9" hidden="1" x14ac:dyDescent="0.25">
      <c r="C125" s="66" t="s">
        <v>625</v>
      </c>
      <c r="D125" s="67">
        <f>13.2+33.33+16.2</f>
        <v>62.730000000000004</v>
      </c>
      <c r="E125" s="67">
        <v>0.4</v>
      </c>
      <c r="F125" s="73">
        <v>0.4</v>
      </c>
      <c r="H125">
        <f>D125*E125*F125</f>
        <v>10.036800000000001</v>
      </c>
    </row>
    <row r="126" spans="1:9" hidden="1" x14ac:dyDescent="0.25">
      <c r="C126" s="66"/>
      <c r="D126" s="67"/>
      <c r="E126" s="67"/>
      <c r="F126" s="73"/>
    </row>
    <row r="127" spans="1:9" hidden="1" x14ac:dyDescent="0.25">
      <c r="C127" s="66"/>
      <c r="D127" s="67"/>
      <c r="E127" s="67"/>
      <c r="F127" s="73"/>
    </row>
    <row r="128" spans="1:9" x14ac:dyDescent="0.25">
      <c r="C128" s="66"/>
      <c r="D128" s="67"/>
      <c r="E128" s="67"/>
      <c r="F128" s="73"/>
    </row>
    <row r="129" spans="1:9" x14ac:dyDescent="0.25">
      <c r="B129" s="458" t="s">
        <v>980</v>
      </c>
      <c r="C129" s="182" t="s">
        <v>988</v>
      </c>
      <c r="D129" s="225">
        <v>0.8</v>
      </c>
      <c r="E129" s="224">
        <v>0.7</v>
      </c>
      <c r="F129" s="226">
        <f>0.65+0.2</f>
        <v>0.85000000000000009</v>
      </c>
      <c r="G129" s="224">
        <v>16</v>
      </c>
      <c r="H129" s="95">
        <f>D129*E129*F129*G129</f>
        <v>7.6159999999999997</v>
      </c>
    </row>
    <row r="130" spans="1:9" x14ac:dyDescent="0.25">
      <c r="B130" s="458"/>
      <c r="C130" s="182" t="s">
        <v>987</v>
      </c>
      <c r="D130" s="225">
        <v>0.92</v>
      </c>
      <c r="E130" s="225">
        <v>0.7</v>
      </c>
      <c r="F130" s="226">
        <v>0.8</v>
      </c>
      <c r="G130" s="227">
        <v>14</v>
      </c>
      <c r="H130" s="95">
        <f>D130*E130*F130*G130+0.01</f>
        <v>7.2227999999999994</v>
      </c>
    </row>
    <row r="131" spans="1:9" x14ac:dyDescent="0.25">
      <c r="B131" s="249"/>
      <c r="C131" s="182"/>
      <c r="D131" s="225"/>
      <c r="E131" s="225"/>
      <c r="F131" s="226"/>
      <c r="G131" s="227"/>
      <c r="H131" s="95"/>
    </row>
    <row r="132" spans="1:9" x14ac:dyDescent="0.25">
      <c r="B132" s="249"/>
      <c r="C132" s="182"/>
      <c r="D132" s="225"/>
      <c r="E132" s="225"/>
      <c r="F132" s="226"/>
      <c r="G132" s="227"/>
      <c r="H132" s="95"/>
    </row>
    <row r="133" spans="1:9" hidden="1" x14ac:dyDescent="0.25">
      <c r="B133" s="459" t="s">
        <v>1025</v>
      </c>
      <c r="C133" s="251" t="s">
        <v>992</v>
      </c>
      <c r="D133" s="252">
        <v>60.07</v>
      </c>
      <c r="E133" s="253">
        <v>0.4</v>
      </c>
      <c r="F133" s="254">
        <v>0.6</v>
      </c>
      <c r="G133" s="255"/>
      <c r="H133" s="95"/>
    </row>
    <row r="134" spans="1:9" hidden="1" x14ac:dyDescent="0.25">
      <c r="B134" s="460"/>
      <c r="C134" s="256" t="s">
        <v>993</v>
      </c>
      <c r="D134" s="257">
        <f>15.73+15.73+15.73+6.29+6.29+20.7</f>
        <v>80.47</v>
      </c>
      <c r="E134" s="257">
        <v>0.4</v>
      </c>
      <c r="F134" s="257">
        <v>0.6</v>
      </c>
      <c r="G134" s="258"/>
      <c r="H134" s="95"/>
    </row>
    <row r="135" spans="1:9" hidden="1" x14ac:dyDescent="0.25">
      <c r="B135" s="460"/>
      <c r="C135" s="256" t="s">
        <v>990</v>
      </c>
      <c r="D135" s="257">
        <v>0.45</v>
      </c>
      <c r="E135" s="257">
        <v>0.7</v>
      </c>
      <c r="F135" s="257">
        <v>0.3</v>
      </c>
      <c r="G135" s="258">
        <v>8</v>
      </c>
      <c r="H135" s="95"/>
    </row>
    <row r="136" spans="1:9" hidden="1" x14ac:dyDescent="0.25">
      <c r="B136" s="460"/>
      <c r="C136" s="256" t="s">
        <v>995</v>
      </c>
      <c r="D136" s="257">
        <f>7.25*2</f>
        <v>14.5</v>
      </c>
      <c r="E136" s="257">
        <v>0.4</v>
      </c>
      <c r="F136" s="257">
        <v>0.6</v>
      </c>
      <c r="G136" s="258"/>
      <c r="H136" s="95"/>
    </row>
    <row r="137" spans="1:9" hidden="1" x14ac:dyDescent="0.25">
      <c r="B137" s="460"/>
      <c r="C137" s="256" t="s">
        <v>991</v>
      </c>
      <c r="D137" s="257">
        <v>0.45</v>
      </c>
      <c r="E137" s="257">
        <v>0.7</v>
      </c>
      <c r="F137" s="257">
        <v>0.3</v>
      </c>
      <c r="G137" s="259">
        <v>10</v>
      </c>
      <c r="H137" s="95"/>
    </row>
    <row r="138" spans="1:9" ht="14.4" hidden="1" thickBot="1" x14ac:dyDescent="0.3">
      <c r="B138" s="461"/>
      <c r="C138" s="260" t="s">
        <v>996</v>
      </c>
      <c r="D138" s="261">
        <v>32.5</v>
      </c>
      <c r="E138" s="261">
        <v>0.4</v>
      </c>
      <c r="F138" s="261">
        <v>0.6</v>
      </c>
      <c r="G138" s="262"/>
      <c r="H138" s="95"/>
    </row>
    <row r="139" spans="1:9" ht="37.5" customHeight="1" x14ac:dyDescent="0.25">
      <c r="A139" s="80" t="s">
        <v>636</v>
      </c>
      <c r="B139" s="81"/>
      <c r="C139" s="82" t="str">
        <f>VLOOKUP(A139,'Orçamento Sintético'!A:J,4,0)</f>
        <v>ATERRO MANUAL DE VALAS COM SOLO ARGILO-ARENOSO E COMPACTAÇÃO MECANIZADA. AF_05/2016</v>
      </c>
      <c r="D139" s="81"/>
      <c r="E139" s="81" t="str">
        <f>VLOOKUP(A139,'Orçamento Sintético'!A:J,5,0)</f>
        <v>m³</v>
      </c>
      <c r="F139" s="462" t="s">
        <v>966</v>
      </c>
      <c r="G139" s="462"/>
      <c r="H139" s="85">
        <f>SUM(H145:H147)</f>
        <v>184.58249999999998</v>
      </c>
      <c r="I139" s="216"/>
    </row>
    <row r="140" spans="1:9" x14ac:dyDescent="0.25">
      <c r="A140" s="65"/>
      <c r="B140" s="65"/>
      <c r="C140" s="66"/>
      <c r="D140" s="67"/>
      <c r="E140" s="67"/>
      <c r="F140" s="463" t="s">
        <v>578</v>
      </c>
      <c r="G140" s="464"/>
      <c r="H140" s="68"/>
    </row>
    <row r="141" spans="1:9" x14ac:dyDescent="0.25">
      <c r="A141" s="65"/>
      <c r="B141" s="65"/>
      <c r="C141" s="66"/>
      <c r="D141" s="67"/>
      <c r="E141" s="67"/>
      <c r="F141" s="456" t="s">
        <v>579</v>
      </c>
      <c r="G141" s="456"/>
      <c r="H141" s="68">
        <f>VLOOKUP(A139,'Orçamento Sintético'!A:J,6,0)</f>
        <v>184.58</v>
      </c>
    </row>
    <row r="142" spans="1:9" x14ac:dyDescent="0.25">
      <c r="A142" s="65"/>
      <c r="B142" s="65"/>
      <c r="C142" s="66"/>
      <c r="D142" s="67"/>
      <c r="E142" s="67"/>
      <c r="F142" s="456" t="s">
        <v>596</v>
      </c>
      <c r="G142" s="456"/>
      <c r="H142" s="69">
        <f>SUM(H145:H147)</f>
        <v>184.58249999999998</v>
      </c>
    </row>
    <row r="143" spans="1:9" x14ac:dyDescent="0.25">
      <c r="A143" s="65"/>
      <c r="B143" s="65"/>
      <c r="C143" s="66"/>
      <c r="D143" s="67"/>
      <c r="E143" s="67"/>
      <c r="F143" s="457" t="s">
        <v>580</v>
      </c>
      <c r="G143" s="457"/>
      <c r="H143" s="264">
        <f>H141-H142</f>
        <v>-2.4999999999693046E-3</v>
      </c>
    </row>
    <row r="144" spans="1:9" x14ac:dyDescent="0.25">
      <c r="A144" s="65"/>
      <c r="B144" s="65"/>
      <c r="C144" s="66"/>
      <c r="D144" s="70" t="s">
        <v>971</v>
      </c>
      <c r="E144" s="70" t="s">
        <v>972</v>
      </c>
      <c r="F144" s="70" t="s">
        <v>976</v>
      </c>
      <c r="G144" s="71" t="s">
        <v>584</v>
      </c>
      <c r="H144" s="75"/>
    </row>
    <row r="145" spans="1:9" x14ac:dyDescent="0.25">
      <c r="B145" s="458" t="s">
        <v>980</v>
      </c>
      <c r="C145" s="182" t="s">
        <v>1072</v>
      </c>
      <c r="D145" s="95">
        <v>8</v>
      </c>
      <c r="E145" s="108">
        <v>0.9</v>
      </c>
      <c r="F145" s="108">
        <v>6.25</v>
      </c>
      <c r="G145" s="108">
        <v>2</v>
      </c>
      <c r="H145" s="229">
        <f t="shared" ref="H145" si="1">G145*F145*E145*D145</f>
        <v>90</v>
      </c>
    </row>
    <row r="146" spans="1:9" x14ac:dyDescent="0.25">
      <c r="B146" s="458"/>
      <c r="C146" s="182" t="s">
        <v>1073</v>
      </c>
      <c r="D146" s="95">
        <v>7.8</v>
      </c>
      <c r="E146" s="108">
        <v>0.91</v>
      </c>
      <c r="F146" s="108">
        <v>6.25</v>
      </c>
      <c r="G146" s="108">
        <v>1</v>
      </c>
      <c r="H146" s="229">
        <f>G146*F146*E146*D146+0.22</f>
        <v>44.582499999999996</v>
      </c>
    </row>
    <row r="147" spans="1:9" x14ac:dyDescent="0.25">
      <c r="B147" s="458"/>
      <c r="C147" s="182" t="s">
        <v>1074</v>
      </c>
      <c r="D147" s="95">
        <v>8</v>
      </c>
      <c r="E147" s="108">
        <v>1</v>
      </c>
      <c r="F147" s="108">
        <v>6.25</v>
      </c>
      <c r="G147" s="108">
        <v>1</v>
      </c>
      <c r="H147" s="229">
        <f t="shared" ref="H147" si="2">G147*F147*E147*D147</f>
        <v>50</v>
      </c>
    </row>
    <row r="148" spans="1:9" x14ac:dyDescent="0.25">
      <c r="B148" s="250"/>
      <c r="C148" s="182"/>
      <c r="D148" s="95"/>
      <c r="E148" s="108"/>
      <c r="F148" s="108"/>
      <c r="G148" s="108"/>
      <c r="H148" s="96"/>
    </row>
    <row r="149" spans="1:9" ht="26.4" x14ac:dyDescent="0.25">
      <c r="A149" s="80" t="s">
        <v>637</v>
      </c>
      <c r="B149" s="81"/>
      <c r="C149" s="82" t="str">
        <f>VLOOKUP(A149,'Orçamento Sintético'!A:J,4,0)</f>
        <v>REATERRO MANUAL DE VALAS COM COMPACTAÇÃO MECANIZADA. AF_04/2016</v>
      </c>
      <c r="D149" s="81"/>
      <c r="E149" s="81" t="str">
        <f>VLOOKUP(A149,'Orçamento Sintético'!A:J,5,0)</f>
        <v>m³</v>
      </c>
      <c r="F149" s="462" t="s">
        <v>966</v>
      </c>
      <c r="G149" s="462"/>
      <c r="H149" s="85">
        <f>SUM(H155:H157)</f>
        <v>55.580000000000005</v>
      </c>
    </row>
    <row r="150" spans="1:9" x14ac:dyDescent="0.25">
      <c r="A150" s="65"/>
      <c r="B150" s="65"/>
      <c r="C150" s="66"/>
      <c r="D150" s="67"/>
      <c r="E150" s="67"/>
      <c r="F150" s="463" t="s">
        <v>578</v>
      </c>
      <c r="G150" s="464"/>
      <c r="H150" s="68"/>
    </row>
    <row r="151" spans="1:9" x14ac:dyDescent="0.25">
      <c r="A151" s="65"/>
      <c r="B151" s="65"/>
      <c r="C151" s="66"/>
      <c r="D151" s="67"/>
      <c r="E151" s="67"/>
      <c r="F151" s="456" t="s">
        <v>579</v>
      </c>
      <c r="G151" s="456"/>
      <c r="H151" s="68">
        <f>VLOOKUP(A149,'Orçamento Sintético'!A:J,6,0)</f>
        <v>55.58</v>
      </c>
    </row>
    <row r="152" spans="1:9" x14ac:dyDescent="0.25">
      <c r="A152" s="65"/>
      <c r="B152" s="65"/>
      <c r="C152" s="66"/>
      <c r="D152" s="67"/>
      <c r="E152" s="67"/>
      <c r="F152" s="456" t="s">
        <v>596</v>
      </c>
      <c r="G152" s="456"/>
      <c r="H152" s="69">
        <f>SUM(H155:H157)</f>
        <v>55.580000000000005</v>
      </c>
    </row>
    <row r="153" spans="1:9" x14ac:dyDescent="0.25">
      <c r="A153" s="65"/>
      <c r="B153" s="65"/>
      <c r="C153" s="66"/>
      <c r="D153" s="67"/>
      <c r="E153" s="67"/>
      <c r="F153" s="457" t="s">
        <v>580</v>
      </c>
      <c r="G153" s="457"/>
      <c r="H153" s="69">
        <f>H151-H152</f>
        <v>0</v>
      </c>
    </row>
    <row r="154" spans="1:9" x14ac:dyDescent="0.25">
      <c r="A154" s="65"/>
      <c r="B154" s="65"/>
      <c r="C154" s="66"/>
      <c r="D154" s="70" t="s">
        <v>971</v>
      </c>
      <c r="E154" s="70" t="s">
        <v>972</v>
      </c>
      <c r="F154" s="70" t="s">
        <v>976</v>
      </c>
      <c r="G154" s="71" t="s">
        <v>584</v>
      </c>
      <c r="H154" s="75"/>
    </row>
    <row r="155" spans="1:9" x14ac:dyDescent="0.25">
      <c r="B155" s="223" t="s">
        <v>980</v>
      </c>
      <c r="C155" s="182" t="s">
        <v>1075</v>
      </c>
      <c r="D155" s="95">
        <v>8</v>
      </c>
      <c r="E155" s="108">
        <v>1.1100000000000001</v>
      </c>
      <c r="F155" s="108">
        <v>6.25</v>
      </c>
      <c r="G155" s="108">
        <v>1</v>
      </c>
      <c r="H155" s="96">
        <f>G155*F155*E155*D155+0.08</f>
        <v>55.580000000000005</v>
      </c>
    </row>
    <row r="156" spans="1:9" x14ac:dyDescent="0.25">
      <c r="B156" s="250"/>
      <c r="C156" s="182"/>
      <c r="D156" s="95"/>
      <c r="E156" s="108"/>
      <c r="F156" s="108"/>
      <c r="G156" s="108"/>
      <c r="H156" s="96"/>
    </row>
    <row r="157" spans="1:9" x14ac:dyDescent="0.25">
      <c r="B157" s="250"/>
      <c r="C157" s="182"/>
      <c r="D157" s="95"/>
      <c r="E157" s="108"/>
      <c r="F157" s="108"/>
      <c r="G157" s="108"/>
      <c r="H157" s="96"/>
    </row>
    <row r="158" spans="1:9" x14ac:dyDescent="0.25">
      <c r="B158" s="250"/>
      <c r="C158" s="182"/>
      <c r="D158" s="95"/>
      <c r="E158" s="108"/>
      <c r="F158" s="108"/>
      <c r="G158" s="108"/>
      <c r="H158" s="96"/>
    </row>
    <row r="159" spans="1:9" x14ac:dyDescent="0.25">
      <c r="B159" s="250"/>
      <c r="C159" s="182"/>
      <c r="D159" s="95"/>
      <c r="E159" s="108"/>
      <c r="F159" s="108"/>
      <c r="G159" s="108"/>
      <c r="H159" s="96"/>
    </row>
    <row r="160" spans="1:9" ht="37.5" customHeight="1" x14ac:dyDescent="0.25">
      <c r="A160" s="80" t="s">
        <v>626</v>
      </c>
      <c r="B160" s="81"/>
      <c r="C160" s="82" t="str">
        <f>VLOOKUP(A160,'Orçamento Sintético'!A:J,4,0)</f>
        <v>LASTRO DE CONCRETO MAGRO, APLICADO EM BLOCOS DE COROAMENTO OU SAPATAS, ESPESSURA DE 5 CM. AF_08/2017</v>
      </c>
      <c r="D160" s="81"/>
      <c r="E160" s="81" t="str">
        <f>VLOOKUP(A160,'Orçamento Sintético'!A:J,5,0)</f>
        <v>m²</v>
      </c>
      <c r="F160" s="462" t="s">
        <v>966</v>
      </c>
      <c r="G160" s="462"/>
      <c r="H160" s="85">
        <f>SUM(H169:H187)</f>
        <v>35.449999999999996</v>
      </c>
      <c r="I160" s="216"/>
    </row>
    <row r="161" spans="1:12" x14ac:dyDescent="0.25">
      <c r="A161" s="65"/>
      <c r="B161" s="65"/>
      <c r="C161" s="66"/>
      <c r="D161" s="67"/>
      <c r="E161" s="67"/>
      <c r="F161" s="463" t="s">
        <v>578</v>
      </c>
      <c r="G161" s="464"/>
      <c r="H161" s="68"/>
    </row>
    <row r="162" spans="1:12" x14ac:dyDescent="0.25">
      <c r="A162" s="65"/>
      <c r="B162" s="65"/>
      <c r="C162" s="66"/>
      <c r="D162" s="67"/>
      <c r="E162" s="67"/>
      <c r="F162" s="456" t="s">
        <v>579</v>
      </c>
      <c r="G162" s="456"/>
      <c r="H162" s="68">
        <f>VLOOKUP(A160,'Orçamento Sintético'!A:J,6,0)</f>
        <v>61.88</v>
      </c>
    </row>
    <row r="163" spans="1:12" x14ac:dyDescent="0.25">
      <c r="A163" s="65"/>
      <c r="B163" s="65"/>
      <c r="C163" s="66"/>
      <c r="D163" s="67"/>
      <c r="E163" s="67"/>
      <c r="F163" s="456" t="s">
        <v>596</v>
      </c>
      <c r="G163" s="456"/>
      <c r="H163" s="69">
        <f>H160</f>
        <v>35.449999999999996</v>
      </c>
    </row>
    <row r="164" spans="1:12" x14ac:dyDescent="0.25">
      <c r="A164" s="65"/>
      <c r="B164" s="65"/>
      <c r="C164" s="66"/>
      <c r="D164" s="67"/>
      <c r="E164" s="67"/>
      <c r="F164" s="457" t="s">
        <v>580</v>
      </c>
      <c r="G164" s="457"/>
      <c r="H164" s="69">
        <f>H162-H163-H166-H167</f>
        <v>0</v>
      </c>
    </row>
    <row r="165" spans="1:12" x14ac:dyDescent="0.25">
      <c r="A165" s="65"/>
      <c r="B165" s="65"/>
      <c r="C165" s="66"/>
      <c r="D165" s="70" t="s">
        <v>971</v>
      </c>
      <c r="E165" s="70" t="s">
        <v>972</v>
      </c>
      <c r="F165" s="70" t="s">
        <v>976</v>
      </c>
      <c r="G165" s="71" t="s">
        <v>584</v>
      </c>
      <c r="H165" s="75"/>
      <c r="L165">
        <f>15+4+10+9+9+2+2+2+2+3</f>
        <v>58</v>
      </c>
    </row>
    <row r="166" spans="1:12" hidden="1" x14ac:dyDescent="0.25">
      <c r="A166" s="65"/>
      <c r="B166" s="72" t="s">
        <v>612</v>
      </c>
      <c r="C166" s="66" t="s">
        <v>627</v>
      </c>
      <c r="D166" s="67"/>
      <c r="E166" s="67"/>
      <c r="F166" s="73"/>
      <c r="G166" s="74">
        <f>(15*0.6*0.6+4*0.6*0.75+10*0.6*0.85+9*0.6*0.65+9*0.6*0.9+2*0.65*0.9+2*0.7*0.8+2*0.6*0.7+2*0.6*0.65+3*0.85*0.6)*0.05</f>
        <v>1.3055000000000003</v>
      </c>
      <c r="H166" s="217"/>
    </row>
    <row r="167" spans="1:12" hidden="1" x14ac:dyDescent="0.25">
      <c r="C167" s="66" t="s">
        <v>628</v>
      </c>
      <c r="D167" s="67">
        <f>0.6</f>
        <v>0.6</v>
      </c>
      <c r="E167" s="67">
        <v>0.05</v>
      </c>
      <c r="F167" s="73">
        <v>0.7</v>
      </c>
      <c r="G167" s="74">
        <v>18</v>
      </c>
      <c r="H167" s="234">
        <v>26.43</v>
      </c>
    </row>
    <row r="168" spans="1:12" hidden="1" x14ac:dyDescent="0.25">
      <c r="C168" s="66"/>
      <c r="D168" s="67"/>
      <c r="E168" s="67"/>
      <c r="F168" s="73"/>
      <c r="G168" s="74"/>
      <c r="H168" s="96"/>
    </row>
    <row r="169" spans="1:12" x14ac:dyDescent="0.25">
      <c r="B169" s="458" t="s">
        <v>980</v>
      </c>
      <c r="C169" s="66" t="s">
        <v>998</v>
      </c>
      <c r="D169" s="67">
        <v>100</v>
      </c>
      <c r="E169" s="67">
        <v>0.05</v>
      </c>
      <c r="F169" s="73">
        <v>0.8</v>
      </c>
      <c r="G169" s="228">
        <v>3</v>
      </c>
      <c r="H169" s="229">
        <f>G169*F169*E169*D169</f>
        <v>12.000000000000002</v>
      </c>
    </row>
    <row r="170" spans="1:12" x14ac:dyDescent="0.25">
      <c r="B170" s="458"/>
      <c r="C170" s="66" t="s">
        <v>999</v>
      </c>
      <c r="D170" s="67">
        <v>15</v>
      </c>
      <c r="E170" s="67">
        <v>0.05</v>
      </c>
      <c r="F170" s="73">
        <v>0.8</v>
      </c>
      <c r="G170" s="228">
        <v>9</v>
      </c>
      <c r="H170" s="229">
        <f t="shared" ref="H170:H184" si="3">G170*F170*E170*D170</f>
        <v>5.4</v>
      </c>
    </row>
    <row r="171" spans="1:12" x14ac:dyDescent="0.25">
      <c r="B171" s="458"/>
      <c r="C171" s="66" t="s">
        <v>1000</v>
      </c>
      <c r="D171" s="67">
        <v>6.6</v>
      </c>
      <c r="E171" s="67">
        <v>0.05</v>
      </c>
      <c r="F171" s="73">
        <v>0.8</v>
      </c>
      <c r="G171" s="228">
        <v>16</v>
      </c>
      <c r="H171" s="229">
        <f t="shared" si="3"/>
        <v>4.2240000000000002</v>
      </c>
    </row>
    <row r="172" spans="1:12" x14ac:dyDescent="0.25">
      <c r="B172" s="458"/>
      <c r="C172" s="230" t="s">
        <v>1001</v>
      </c>
      <c r="D172" s="231">
        <v>0.3</v>
      </c>
      <c r="E172" s="231">
        <v>0.05</v>
      </c>
      <c r="F172" s="232">
        <v>0.6</v>
      </c>
      <c r="G172" s="233">
        <v>58</v>
      </c>
      <c r="H172" s="234">
        <f t="shared" si="3"/>
        <v>0.52200000000000002</v>
      </c>
    </row>
    <row r="173" spans="1:12" x14ac:dyDescent="0.25">
      <c r="B173" s="458"/>
      <c r="C173" s="66" t="s">
        <v>997</v>
      </c>
      <c r="D173" s="67">
        <v>70</v>
      </c>
      <c r="E173" s="67">
        <v>0.05</v>
      </c>
      <c r="F173" s="73">
        <v>0.8</v>
      </c>
      <c r="G173" s="228">
        <v>1</v>
      </c>
      <c r="H173" s="229">
        <f t="shared" si="3"/>
        <v>2.8000000000000007</v>
      </c>
    </row>
    <row r="174" spans="1:12" x14ac:dyDescent="0.25">
      <c r="B174" s="458"/>
      <c r="C174" s="230" t="s">
        <v>1002</v>
      </c>
      <c r="D174" s="231">
        <v>0.3</v>
      </c>
      <c r="E174" s="231">
        <v>0.05</v>
      </c>
      <c r="F174" s="232">
        <v>0.6</v>
      </c>
      <c r="G174" s="233">
        <v>-18</v>
      </c>
      <c r="H174" s="234">
        <f t="shared" si="3"/>
        <v>-0.16199999999999998</v>
      </c>
    </row>
    <row r="175" spans="1:12" x14ac:dyDescent="0.25">
      <c r="B175" s="458"/>
      <c r="C175" s="182" t="s">
        <v>988</v>
      </c>
      <c r="D175" s="225">
        <v>0.6</v>
      </c>
      <c r="E175" s="224">
        <v>0.05</v>
      </c>
      <c r="F175" s="226">
        <v>0.8</v>
      </c>
      <c r="G175" s="224">
        <v>16</v>
      </c>
      <c r="H175" s="229">
        <f t="shared" si="3"/>
        <v>0.38400000000000006</v>
      </c>
    </row>
    <row r="176" spans="1:12" x14ac:dyDescent="0.25">
      <c r="B176" s="458"/>
      <c r="C176" s="182" t="s">
        <v>992</v>
      </c>
      <c r="D176" s="67">
        <v>100</v>
      </c>
      <c r="E176" s="67">
        <v>0.05</v>
      </c>
      <c r="F176" s="73">
        <v>0.8</v>
      </c>
      <c r="G176" s="228">
        <v>1</v>
      </c>
      <c r="H176" s="229">
        <f t="shared" si="3"/>
        <v>4.0000000000000009</v>
      </c>
    </row>
    <row r="177" spans="1:9" x14ac:dyDescent="0.25">
      <c r="B177" s="458"/>
      <c r="C177" s="235" t="s">
        <v>1003</v>
      </c>
      <c r="D177" s="231">
        <v>0.2</v>
      </c>
      <c r="E177" s="231">
        <v>0.05</v>
      </c>
      <c r="F177" s="232">
        <v>0.6</v>
      </c>
      <c r="G177" s="233">
        <v>-16</v>
      </c>
      <c r="H177" s="234">
        <f t="shared" si="3"/>
        <v>-9.6000000000000002E-2</v>
      </c>
    </row>
    <row r="178" spans="1:9" x14ac:dyDescent="0.25">
      <c r="B178" s="458"/>
      <c r="C178" s="182" t="s">
        <v>987</v>
      </c>
      <c r="D178" s="225">
        <v>0.85</v>
      </c>
      <c r="E178" s="225">
        <v>0.05</v>
      </c>
      <c r="F178" s="226">
        <v>0.8</v>
      </c>
      <c r="G178" s="227">
        <v>14</v>
      </c>
      <c r="H178" s="229">
        <f t="shared" si="3"/>
        <v>0.47600000000000003</v>
      </c>
    </row>
    <row r="179" spans="1:9" x14ac:dyDescent="0.25">
      <c r="B179" s="458"/>
      <c r="C179" s="182" t="s">
        <v>993</v>
      </c>
      <c r="D179" s="224">
        <v>90</v>
      </c>
      <c r="E179" s="224">
        <v>0.05</v>
      </c>
      <c r="F179" s="224">
        <v>0.8</v>
      </c>
      <c r="G179" s="224"/>
      <c r="H179" s="229">
        <f>F179*E179*D179</f>
        <v>3.6000000000000005</v>
      </c>
    </row>
    <row r="180" spans="1:9" x14ac:dyDescent="0.25">
      <c r="B180" s="458"/>
      <c r="C180" s="235" t="s">
        <v>1004</v>
      </c>
      <c r="D180" s="237">
        <v>0.2</v>
      </c>
      <c r="E180" s="238">
        <v>0.05</v>
      </c>
      <c r="F180" s="238">
        <v>0.6</v>
      </c>
      <c r="G180" s="238">
        <v>-14</v>
      </c>
      <c r="H180" s="234">
        <f>G180*F180*E180*D180</f>
        <v>-8.4000000000000019E-2</v>
      </c>
    </row>
    <row r="181" spans="1:9" x14ac:dyDescent="0.25">
      <c r="B181" s="458"/>
      <c r="C181" s="182" t="s">
        <v>989</v>
      </c>
      <c r="D181" s="224">
        <v>0.8</v>
      </c>
      <c r="E181" s="224">
        <v>0.05</v>
      </c>
      <c r="F181" s="224">
        <v>0.8</v>
      </c>
      <c r="G181" s="224">
        <f>4*3</f>
        <v>12</v>
      </c>
      <c r="H181" s="229">
        <f>G181*F181*E181*D181+0.054</f>
        <v>0.43800000000000011</v>
      </c>
    </row>
    <row r="182" spans="1:9" x14ac:dyDescent="0.25">
      <c r="B182" s="458"/>
      <c r="C182" s="182" t="s">
        <v>994</v>
      </c>
      <c r="D182" s="224">
        <v>10</v>
      </c>
      <c r="E182" s="224">
        <v>0.05</v>
      </c>
      <c r="F182" s="224">
        <v>0.6</v>
      </c>
      <c r="G182" s="224">
        <f>3</f>
        <v>3</v>
      </c>
      <c r="H182" s="229">
        <f t="shared" si="3"/>
        <v>0.89999999999999991</v>
      </c>
    </row>
    <row r="183" spans="1:9" x14ac:dyDescent="0.25">
      <c r="B183" s="458"/>
      <c r="C183" s="235" t="s">
        <v>1005</v>
      </c>
      <c r="D183" s="237">
        <v>0.2</v>
      </c>
      <c r="E183" s="238">
        <v>0.05</v>
      </c>
      <c r="F183" s="238">
        <v>0.6</v>
      </c>
      <c r="G183" s="238">
        <v>-12</v>
      </c>
      <c r="H183" s="234">
        <f t="shared" si="3"/>
        <v>-7.1999999999999995E-2</v>
      </c>
    </row>
    <row r="184" spans="1:9" x14ac:dyDescent="0.25">
      <c r="B184" s="458"/>
      <c r="C184" s="182" t="s">
        <v>990</v>
      </c>
      <c r="D184" s="224">
        <v>0.45</v>
      </c>
      <c r="E184" s="224">
        <v>0.05</v>
      </c>
      <c r="F184" s="224">
        <v>0.8</v>
      </c>
      <c r="G184" s="224">
        <v>8</v>
      </c>
      <c r="H184" s="229">
        <f t="shared" si="3"/>
        <v>0.14400000000000004</v>
      </c>
    </row>
    <row r="185" spans="1:9" x14ac:dyDescent="0.25">
      <c r="B185" s="458"/>
      <c r="C185" s="182" t="s">
        <v>995</v>
      </c>
      <c r="D185" s="224">
        <v>25</v>
      </c>
      <c r="E185" s="224">
        <v>0.05</v>
      </c>
      <c r="F185" s="224">
        <v>0.8</v>
      </c>
      <c r="G185" s="224"/>
      <c r="H185" s="229">
        <f>F185*E185*D185</f>
        <v>1.0000000000000002</v>
      </c>
    </row>
    <row r="186" spans="1:9" x14ac:dyDescent="0.25">
      <c r="B186" s="458"/>
      <c r="C186" s="235" t="s">
        <v>1006</v>
      </c>
      <c r="D186" s="231">
        <v>0.2</v>
      </c>
      <c r="E186" s="231">
        <v>0.05</v>
      </c>
      <c r="F186" s="232">
        <v>0.3</v>
      </c>
      <c r="G186" s="76">
        <v>-8</v>
      </c>
      <c r="H186" s="229">
        <f>G186*F186*E186*D186</f>
        <v>-2.4E-2</v>
      </c>
    </row>
    <row r="187" spans="1:9" x14ac:dyDescent="0.25">
      <c r="C187" s="66"/>
      <c r="D187" s="67"/>
      <c r="E187" s="67"/>
      <c r="F187" s="73"/>
      <c r="G187" s="74"/>
      <c r="H187" s="96"/>
    </row>
    <row r="188" spans="1:9" x14ac:dyDescent="0.25">
      <c r="C188" s="66"/>
      <c r="D188" s="67"/>
      <c r="E188" s="67"/>
      <c r="F188" s="73"/>
      <c r="G188" s="74"/>
      <c r="H188" s="96"/>
    </row>
    <row r="189" spans="1:9" x14ac:dyDescent="0.25">
      <c r="C189" s="66"/>
      <c r="D189" s="67"/>
      <c r="E189" s="67"/>
      <c r="F189" s="73"/>
      <c r="G189" s="74"/>
      <c r="H189" s="96"/>
    </row>
    <row r="190" spans="1:9" ht="37.5" customHeight="1" x14ac:dyDescent="0.25">
      <c r="A190" s="80" t="s">
        <v>629</v>
      </c>
      <c r="B190" s="81"/>
      <c r="C190" s="82" t="str">
        <f>VLOOKUP(A190,'Orçamento Sintético'!A:J,4,0)</f>
        <v>FABRICAÇÃO, MONTAGEM E DESMONTAGEM DE FÔRMA PARA SAPATA, EM MADEIRA SERRADA, E=25 MM, 4 UTILIZAÇÕES. AF_06/2017</v>
      </c>
      <c r="D190" s="81"/>
      <c r="E190" s="81" t="str">
        <f>VLOOKUP(A190,'Orçamento Sintético'!A:J,5,0)</f>
        <v>m²</v>
      </c>
      <c r="F190" s="462" t="s">
        <v>966</v>
      </c>
      <c r="G190" s="462"/>
      <c r="H190" s="85">
        <f>SUM(H200:H203)</f>
        <v>52.85</v>
      </c>
      <c r="I190" s="221"/>
    </row>
    <row r="191" spans="1:9" x14ac:dyDescent="0.25">
      <c r="A191" s="65"/>
      <c r="B191" s="65"/>
      <c r="C191" s="66"/>
      <c r="D191" s="67"/>
      <c r="E191" s="67"/>
      <c r="F191" s="463" t="s">
        <v>578</v>
      </c>
      <c r="G191" s="464"/>
      <c r="H191" s="68"/>
    </row>
    <row r="192" spans="1:9" x14ac:dyDescent="0.25">
      <c r="A192" s="65"/>
      <c r="B192" s="65"/>
      <c r="C192" s="66"/>
      <c r="D192" s="67"/>
      <c r="E192" s="67"/>
      <c r="F192" s="456" t="s">
        <v>579</v>
      </c>
      <c r="G192" s="456"/>
      <c r="H192" s="68">
        <f>VLOOKUP(A190,'Orçamento Sintético'!A:J,6,0)</f>
        <v>165.15</v>
      </c>
    </row>
    <row r="193" spans="1:13" x14ac:dyDescent="0.25">
      <c r="A193" s="65"/>
      <c r="B193" s="65"/>
      <c r="C193" s="66"/>
      <c r="D193" s="67"/>
      <c r="E193" s="67"/>
      <c r="F193" s="456" t="s">
        <v>596</v>
      </c>
      <c r="G193" s="456"/>
      <c r="H193" s="69">
        <f>SUM(H196:H203)</f>
        <v>165.14999999999998</v>
      </c>
    </row>
    <row r="194" spans="1:13" x14ac:dyDescent="0.25">
      <c r="A194" s="65"/>
      <c r="B194" s="65"/>
      <c r="C194" s="66"/>
      <c r="D194" s="67"/>
      <c r="E194" s="67"/>
      <c r="F194" s="457" t="s">
        <v>580</v>
      </c>
      <c r="G194" s="457"/>
      <c r="H194" s="69">
        <f>H192-H193</f>
        <v>0</v>
      </c>
    </row>
    <row r="195" spans="1:13" x14ac:dyDescent="0.25">
      <c r="A195" s="65"/>
      <c r="B195" s="65"/>
      <c r="C195" s="66"/>
      <c r="D195" s="70" t="s">
        <v>971</v>
      </c>
      <c r="E195" s="70" t="s">
        <v>972</v>
      </c>
      <c r="F195" s="70" t="s">
        <v>976</v>
      </c>
      <c r="G195" s="71" t="s">
        <v>584</v>
      </c>
      <c r="H195" s="75"/>
    </row>
    <row r="196" spans="1:13" hidden="1" x14ac:dyDescent="0.25">
      <c r="A196" s="65"/>
      <c r="B196" s="72" t="s">
        <v>612</v>
      </c>
      <c r="C196" s="66" t="s">
        <v>630</v>
      </c>
      <c r="D196" s="67"/>
      <c r="E196" s="67"/>
      <c r="F196" s="73"/>
      <c r="G196" s="74">
        <v>112.3</v>
      </c>
      <c r="H196" s="96">
        <f>G196</f>
        <v>112.3</v>
      </c>
    </row>
    <row r="197" spans="1:13" hidden="1" x14ac:dyDescent="0.25">
      <c r="A197" s="65"/>
      <c r="B197" s="72"/>
      <c r="C197" s="66"/>
      <c r="D197" s="67"/>
      <c r="E197" s="67"/>
      <c r="F197" s="73"/>
      <c r="G197" s="74"/>
      <c r="H197" s="96"/>
    </row>
    <row r="198" spans="1:13" hidden="1" x14ac:dyDescent="0.25">
      <c r="A198" s="65"/>
      <c r="B198" s="72"/>
      <c r="C198" s="66"/>
      <c r="D198" s="67"/>
      <c r="E198" s="67"/>
      <c r="F198" s="73"/>
      <c r="G198" s="74"/>
      <c r="H198" s="96"/>
    </row>
    <row r="199" spans="1:13" hidden="1" x14ac:dyDescent="0.25">
      <c r="A199" s="65"/>
      <c r="B199" s="72"/>
      <c r="C199" s="66"/>
      <c r="D199" s="67"/>
      <c r="E199" s="67"/>
      <c r="F199" s="73"/>
      <c r="G199" s="74"/>
      <c r="H199" s="96"/>
    </row>
    <row r="200" spans="1:13" x14ac:dyDescent="0.25">
      <c r="B200" s="506" t="s">
        <v>980</v>
      </c>
      <c r="C200" s="182" t="s">
        <v>987</v>
      </c>
      <c r="D200">
        <f>2*0.65</f>
        <v>1.3</v>
      </c>
      <c r="E200" s="108"/>
      <c r="F200" s="108">
        <f>2*0.75</f>
        <v>1.5</v>
      </c>
      <c r="G200" s="108">
        <f>14/2</f>
        <v>7</v>
      </c>
      <c r="H200" s="96">
        <f>G200*F200*D200*2</f>
        <v>27.3</v>
      </c>
    </row>
    <row r="201" spans="1:13" x14ac:dyDescent="0.25">
      <c r="B201" s="506"/>
      <c r="C201" s="182" t="s">
        <v>988</v>
      </c>
      <c r="D201" s="95">
        <f>2*0.6</f>
        <v>1.2</v>
      </c>
      <c r="E201" s="108"/>
      <c r="F201" s="108">
        <f>2*0.65</f>
        <v>1.3</v>
      </c>
      <c r="G201" s="108">
        <f>16/2</f>
        <v>8</v>
      </c>
      <c r="H201" s="96">
        <f>G201*F201*D201+0.11</f>
        <v>12.59</v>
      </c>
      <c r="M201">
        <v>23.79</v>
      </c>
    </row>
    <row r="202" spans="1:13" x14ac:dyDescent="0.25">
      <c r="B202" s="506"/>
      <c r="C202" s="182" t="s">
        <v>989</v>
      </c>
      <c r="D202" s="95">
        <f>2*0.6</f>
        <v>1.2</v>
      </c>
      <c r="E202" s="108"/>
      <c r="F202" s="224">
        <f>2*0.6</f>
        <v>1.2</v>
      </c>
      <c r="G202" s="108">
        <f>(4*3)/2</f>
        <v>6</v>
      </c>
      <c r="H202" s="96">
        <f t="shared" ref="H202:H203" si="4">G202*F202*D202</f>
        <v>8.6399999999999988</v>
      </c>
    </row>
    <row r="203" spans="1:13" x14ac:dyDescent="0.25">
      <c r="B203" s="506"/>
      <c r="C203" s="182" t="s">
        <v>990</v>
      </c>
      <c r="D203" s="240">
        <v>0.9</v>
      </c>
      <c r="E203" s="108"/>
      <c r="F203" s="108">
        <f>2*0.3</f>
        <v>0.6</v>
      </c>
      <c r="G203" s="108">
        <f>8</f>
        <v>8</v>
      </c>
      <c r="H203" s="96">
        <f t="shared" si="4"/>
        <v>4.32</v>
      </c>
    </row>
    <row r="204" spans="1:13" x14ac:dyDescent="0.25">
      <c r="C204" s="66"/>
      <c r="D204" s="67"/>
      <c r="E204" s="67"/>
      <c r="F204" s="73"/>
      <c r="G204" s="74"/>
      <c r="H204" s="96"/>
    </row>
    <row r="205" spans="1:13" x14ac:dyDescent="0.25">
      <c r="C205" s="66"/>
      <c r="D205" s="67"/>
      <c r="E205" s="67"/>
      <c r="F205" s="73"/>
      <c r="G205" s="74"/>
      <c r="H205" s="96"/>
    </row>
    <row r="206" spans="1:13" x14ac:dyDescent="0.25">
      <c r="C206" s="66"/>
      <c r="D206" s="67"/>
      <c r="E206" s="67"/>
      <c r="F206" s="73"/>
      <c r="G206" s="74"/>
      <c r="H206" s="96"/>
    </row>
    <row r="207" spans="1:13" x14ac:dyDescent="0.25">
      <c r="C207" s="66"/>
      <c r="D207" s="67"/>
      <c r="E207" s="67"/>
      <c r="F207" s="73"/>
      <c r="G207" s="74"/>
      <c r="H207" s="96"/>
    </row>
    <row r="208" spans="1:13" x14ac:dyDescent="0.25">
      <c r="C208" s="66"/>
      <c r="D208" s="67"/>
      <c r="E208" s="67"/>
      <c r="F208" s="73"/>
      <c r="G208" s="74"/>
      <c r="H208" s="96"/>
    </row>
    <row r="209" spans="1:14" x14ac:dyDescent="0.25">
      <c r="C209" s="66"/>
      <c r="D209" s="67"/>
      <c r="E209" s="67"/>
      <c r="F209" s="73"/>
      <c r="G209" s="74"/>
      <c r="H209" s="96"/>
    </row>
    <row r="210" spans="1:14" ht="37.5" hidden="1" customHeight="1" x14ac:dyDescent="0.25">
      <c r="A210" s="80" t="s">
        <v>631</v>
      </c>
      <c r="B210" s="81"/>
      <c r="C210" s="82" t="str">
        <f>VLOOKUP(A210,'Orçamento Sintético'!A:J,4,0)</f>
        <v>ARMAÇÃO DE ESTRUTURAS DIVERSAS DE CONCRETO ARMADO, EXCETO VIGAS, PILARES, LAJES E FUNDAÇÕES, UTILIZANDO AÇO CA-50 DE 10,0 MM - MONTAGEM. AF_06/2022</v>
      </c>
      <c r="D210" s="81"/>
      <c r="E210" s="81" t="str">
        <f>VLOOKUP(A210,'Orçamento Sintético'!A:J,5,0)</f>
        <v>KG</v>
      </c>
      <c r="F210" s="462" t="s">
        <v>611</v>
      </c>
      <c r="G210" s="462"/>
      <c r="H210" s="85">
        <f>H216</f>
        <v>312.26</v>
      </c>
      <c r="I210" s="216"/>
    </row>
    <row r="211" spans="1:14" hidden="1" x14ac:dyDescent="0.25">
      <c r="A211" s="65"/>
      <c r="B211" s="65"/>
      <c r="C211" s="66"/>
      <c r="D211" s="67"/>
      <c r="E211" s="67"/>
      <c r="F211" s="463" t="s">
        <v>578</v>
      </c>
      <c r="G211" s="464"/>
      <c r="H211" s="68"/>
    </row>
    <row r="212" spans="1:14" hidden="1" x14ac:dyDescent="0.25">
      <c r="A212" s="65"/>
      <c r="B212" s="65"/>
      <c r="C212" s="66"/>
      <c r="D212" s="67"/>
      <c r="E212" s="67"/>
      <c r="F212" s="456" t="s">
        <v>579</v>
      </c>
      <c r="G212" s="456"/>
      <c r="H212" s="68">
        <f>VLOOKUP(A210,'Orçamento Sintético'!A:J,6,0)</f>
        <v>312.26</v>
      </c>
    </row>
    <row r="213" spans="1:14" hidden="1" x14ac:dyDescent="0.25">
      <c r="A213" s="65"/>
      <c r="B213" s="65"/>
      <c r="C213" s="66"/>
      <c r="D213" s="67"/>
      <c r="E213" s="67"/>
      <c r="F213" s="456" t="s">
        <v>596</v>
      </c>
      <c r="G213" s="456"/>
      <c r="H213" s="69">
        <f>SUM(H216:H220)</f>
        <v>312.26</v>
      </c>
    </row>
    <row r="214" spans="1:14" hidden="1" x14ac:dyDescent="0.25">
      <c r="A214" s="65"/>
      <c r="B214" s="65"/>
      <c r="C214" s="66"/>
      <c r="D214" s="67"/>
      <c r="E214" s="67"/>
      <c r="F214" s="457" t="s">
        <v>580</v>
      </c>
      <c r="G214" s="457"/>
      <c r="H214" s="69">
        <f>H212-H213</f>
        <v>0</v>
      </c>
      <c r="M214">
        <v>699.28</v>
      </c>
      <c r="N214" s="100">
        <f>H216/M214</f>
        <v>0.44654501773252486</v>
      </c>
    </row>
    <row r="215" spans="1:14" hidden="1" x14ac:dyDescent="0.25">
      <c r="A215" s="65"/>
      <c r="B215" s="65"/>
      <c r="C215" s="66"/>
      <c r="D215" s="70" t="s">
        <v>971</v>
      </c>
      <c r="E215" s="70" t="s">
        <v>974</v>
      </c>
      <c r="F215" s="70" t="s">
        <v>975</v>
      </c>
      <c r="G215" s="71" t="s">
        <v>584</v>
      </c>
      <c r="H215" s="75"/>
      <c r="M215">
        <v>191.85</v>
      </c>
    </row>
    <row r="216" spans="1:14" hidden="1" x14ac:dyDescent="0.25">
      <c r="A216" s="65"/>
      <c r="B216" s="72" t="s">
        <v>612</v>
      </c>
      <c r="C216" s="66" t="s">
        <v>963</v>
      </c>
      <c r="D216" s="67"/>
      <c r="E216" s="67"/>
      <c r="F216" s="98">
        <f>263.83+48.43</f>
        <v>312.26</v>
      </c>
      <c r="G216" s="98"/>
      <c r="H216" s="96">
        <f>F216</f>
        <v>312.26</v>
      </c>
      <c r="N216" s="100" t="e">
        <f>#REF!/M214</f>
        <v>#REF!</v>
      </c>
    </row>
    <row r="217" spans="1:14" hidden="1" x14ac:dyDescent="0.25">
      <c r="A217" s="65"/>
      <c r="B217" s="72"/>
      <c r="C217" s="66"/>
      <c r="D217" s="67"/>
      <c r="E217" s="67"/>
      <c r="F217" s="98"/>
      <c r="G217" s="98"/>
      <c r="H217" s="96"/>
      <c r="N217" s="100"/>
    </row>
    <row r="218" spans="1:14" hidden="1" x14ac:dyDescent="0.25">
      <c r="A218" s="65"/>
      <c r="B218" s="72"/>
      <c r="C218" s="66"/>
      <c r="D218" s="67"/>
      <c r="E218" s="67"/>
      <c r="F218" s="98"/>
      <c r="G218" s="98"/>
      <c r="H218" s="96"/>
      <c r="N218" s="100"/>
    </row>
    <row r="219" spans="1:14" hidden="1" x14ac:dyDescent="0.25">
      <c r="A219" s="65"/>
      <c r="B219" s="72"/>
      <c r="C219" s="66"/>
      <c r="D219" s="67"/>
      <c r="E219" s="67"/>
      <c r="F219" s="73"/>
      <c r="G219" s="98"/>
      <c r="H219" s="96"/>
    </row>
    <row r="220" spans="1:14" hidden="1" x14ac:dyDescent="0.25">
      <c r="A220" s="65"/>
      <c r="B220" s="72"/>
      <c r="C220" s="66"/>
      <c r="D220" s="67"/>
      <c r="E220" s="67"/>
      <c r="F220" s="73"/>
      <c r="G220" s="98"/>
      <c r="H220" s="96"/>
    </row>
    <row r="222" spans="1:14" ht="37.5" customHeight="1" x14ac:dyDescent="0.25">
      <c r="A222" s="80" t="s">
        <v>632</v>
      </c>
      <c r="B222" s="81"/>
      <c r="C222" s="82" t="str">
        <f>VLOOKUP(A222,'Orçamento Sintético'!A:J,4,0)</f>
        <v>ARMAÇÃO DE ESTRUTURAS DIVERSAS DE CONCRETO ARMADO, EXCETO VIGAS, PILARES, LAJES E FUNDAÇÕES, UTILIZANDO AÇO CA-50 DE 12,5 MM - MONTAGEM. AF_06/2022</v>
      </c>
      <c r="D222" s="81"/>
      <c r="E222" s="81" t="str">
        <f>VLOOKUP(A222,'Orçamento Sintético'!A:J,5,0)</f>
        <v>KG</v>
      </c>
      <c r="F222" s="462" t="s">
        <v>966</v>
      </c>
      <c r="G222" s="462"/>
      <c r="H222" s="85">
        <f>SUM(H228:H229)</f>
        <v>32.636809999999997</v>
      </c>
      <c r="I222" s="216"/>
    </row>
    <row r="223" spans="1:14" x14ac:dyDescent="0.25">
      <c r="A223" s="65"/>
      <c r="B223" s="65"/>
      <c r="C223" s="66"/>
      <c r="D223" s="67"/>
      <c r="E223" s="67"/>
      <c r="F223" s="463" t="s">
        <v>578</v>
      </c>
      <c r="G223" s="464"/>
      <c r="H223" s="68"/>
    </row>
    <row r="224" spans="1:14" x14ac:dyDescent="0.25">
      <c r="A224" s="65"/>
      <c r="B224" s="65"/>
      <c r="C224" s="66"/>
      <c r="D224" s="67"/>
      <c r="E224" s="67"/>
      <c r="F224" s="456" t="s">
        <v>579</v>
      </c>
      <c r="G224" s="456"/>
      <c r="H224" s="68">
        <f>VLOOKUP(A222,'Orçamento Sintético'!A:J,6,0)</f>
        <v>32.64</v>
      </c>
    </row>
    <row r="225" spans="1:9" x14ac:dyDescent="0.25">
      <c r="A225" s="65"/>
      <c r="B225" s="65"/>
      <c r="C225" s="66"/>
      <c r="D225" s="67"/>
      <c r="E225" s="67"/>
      <c r="F225" s="456" t="s">
        <v>596</v>
      </c>
      <c r="G225" s="456"/>
      <c r="H225" s="69">
        <f>SUM(H228)</f>
        <v>32.636809999999997</v>
      </c>
    </row>
    <row r="226" spans="1:9" x14ac:dyDescent="0.25">
      <c r="A226" s="65"/>
      <c r="B226" s="65"/>
      <c r="C226" s="66"/>
      <c r="D226" s="67"/>
      <c r="E226" s="67"/>
      <c r="F226" s="457" t="s">
        <v>580</v>
      </c>
      <c r="G226" s="457"/>
      <c r="H226" s="263">
        <f>H224-H225</f>
        <v>3.1900000000035789E-3</v>
      </c>
    </row>
    <row r="227" spans="1:9" x14ac:dyDescent="0.25">
      <c r="A227" s="65"/>
      <c r="B227" s="65"/>
      <c r="C227" s="66"/>
      <c r="D227" s="241" t="s">
        <v>1008</v>
      </c>
      <c r="E227" s="241" t="s">
        <v>1009</v>
      </c>
      <c r="F227" s="241" t="s">
        <v>1010</v>
      </c>
      <c r="G227" s="241" t="s">
        <v>1011</v>
      </c>
      <c r="H227" s="75"/>
    </row>
    <row r="228" spans="1:9" x14ac:dyDescent="0.25">
      <c r="A228" s="65"/>
      <c r="B228" s="239" t="s">
        <v>980</v>
      </c>
      <c r="C228" s="66" t="s">
        <v>1007</v>
      </c>
      <c r="D228">
        <v>2.258</v>
      </c>
      <c r="E228">
        <v>6</v>
      </c>
      <c r="F228">
        <v>0.96299999999999997</v>
      </c>
      <c r="G228">
        <v>2.5</v>
      </c>
      <c r="H228" s="229">
        <f>G228*F228*E228*D228+0.02</f>
        <v>32.636809999999997</v>
      </c>
    </row>
    <row r="229" spans="1:9" x14ac:dyDescent="0.25">
      <c r="C229" s="66"/>
      <c r="G229" s="99"/>
    </row>
    <row r="230" spans="1:9" x14ac:dyDescent="0.25">
      <c r="C230" s="66"/>
      <c r="G230" s="99"/>
    </row>
    <row r="231" spans="1:9" x14ac:dyDescent="0.25">
      <c r="C231" s="66"/>
      <c r="G231" s="99"/>
    </row>
    <row r="232" spans="1:9" x14ac:dyDescent="0.25">
      <c r="C232" s="66"/>
      <c r="G232" s="99"/>
    </row>
    <row r="234" spans="1:9" ht="37.5" customHeight="1" x14ac:dyDescent="0.25">
      <c r="A234" s="80" t="s">
        <v>633</v>
      </c>
      <c r="B234" s="81"/>
      <c r="C234" s="82" t="str">
        <f>VLOOKUP(A234,'Orçamento Sintético'!A:J,4,0)</f>
        <v>ARMAÇÃO DE ESTRUTURAS DIVERSAS DE CONCRETO ARMADO, EXCETO VIGAS, PILARES, LAJES E FUNDAÇÕES, UTILIZANDO AÇO CA-60 DE 5,0 MM - MONTAGEM. AF_06/2022</v>
      </c>
      <c r="D234" s="81"/>
      <c r="E234" s="81" t="str">
        <f>VLOOKUP(A234,'Orçamento Sintético'!A:J,5,0)</f>
        <v>KG</v>
      </c>
      <c r="F234" s="462" t="s">
        <v>966</v>
      </c>
      <c r="G234" s="462"/>
      <c r="H234" s="85">
        <f>SUM(H244:H253)</f>
        <v>188.65950795999996</v>
      </c>
      <c r="I234" s="216"/>
    </row>
    <row r="235" spans="1:9" x14ac:dyDescent="0.25">
      <c r="A235" s="65"/>
      <c r="B235" s="65"/>
      <c r="C235" s="66"/>
      <c r="D235" s="67"/>
      <c r="E235" s="67"/>
      <c r="F235" s="463" t="s">
        <v>578</v>
      </c>
      <c r="G235" s="464"/>
      <c r="H235" s="68"/>
    </row>
    <row r="236" spans="1:9" x14ac:dyDescent="0.25">
      <c r="A236" s="65"/>
      <c r="B236" s="65"/>
      <c r="C236" s="66"/>
      <c r="D236" s="67"/>
      <c r="E236" s="67"/>
      <c r="F236" s="456" t="s">
        <v>579</v>
      </c>
      <c r="G236" s="456"/>
      <c r="H236" s="68">
        <f>VLOOKUP(A234,'Orçamento Sintético'!A:J,6,0)</f>
        <v>307.55</v>
      </c>
    </row>
    <row r="237" spans="1:9" x14ac:dyDescent="0.25">
      <c r="A237" s="65"/>
      <c r="B237" s="65"/>
      <c r="C237" s="66"/>
      <c r="D237" s="67"/>
      <c r="E237" s="67"/>
      <c r="F237" s="456" t="s">
        <v>596</v>
      </c>
      <c r="G237" s="456"/>
      <c r="H237" s="69">
        <f>SUM(H240:H253)</f>
        <v>307.54950796000008</v>
      </c>
    </row>
    <row r="238" spans="1:9" x14ac:dyDescent="0.25">
      <c r="A238" s="65"/>
      <c r="B238" s="65"/>
      <c r="C238" s="66"/>
      <c r="D238" s="67"/>
      <c r="E238" s="67"/>
      <c r="F238" s="457" t="s">
        <v>580</v>
      </c>
      <c r="G238" s="457"/>
      <c r="H238" s="69">
        <f>H236-H237</f>
        <v>4.9203999992641911E-4</v>
      </c>
    </row>
    <row r="239" spans="1:9" x14ac:dyDescent="0.25">
      <c r="A239" s="65"/>
      <c r="B239" s="65"/>
      <c r="C239" s="66"/>
      <c r="D239" s="241" t="s">
        <v>1008</v>
      </c>
      <c r="E239" s="241" t="s">
        <v>1009</v>
      </c>
      <c r="F239" s="241" t="s">
        <v>1010</v>
      </c>
      <c r="G239" s="241" t="s">
        <v>1011</v>
      </c>
      <c r="H239" s="75"/>
    </row>
    <row r="240" spans="1:9" hidden="1" x14ac:dyDescent="0.25">
      <c r="A240" s="65"/>
      <c r="B240" s="72" t="s">
        <v>612</v>
      </c>
      <c r="C240" s="66" t="s">
        <v>951</v>
      </c>
      <c r="D240" s="67"/>
      <c r="E240" s="67"/>
      <c r="F240" s="73">
        <v>96.38</v>
      </c>
      <c r="G240" s="98"/>
      <c r="H240" s="96">
        <f>F240</f>
        <v>96.38</v>
      </c>
    </row>
    <row r="241" spans="1:9" hidden="1" x14ac:dyDescent="0.25">
      <c r="C241" s="66" t="s">
        <v>952</v>
      </c>
      <c r="F241">
        <v>22.51</v>
      </c>
      <c r="G241" s="99"/>
      <c r="H241" s="96">
        <f t="shared" ref="H241:H243" si="5">F241</f>
        <v>22.51</v>
      </c>
    </row>
    <row r="242" spans="1:9" hidden="1" x14ac:dyDescent="0.25">
      <c r="C242" s="66"/>
      <c r="G242" s="99"/>
      <c r="H242" s="96">
        <f t="shared" si="5"/>
        <v>0</v>
      </c>
    </row>
    <row r="243" spans="1:9" hidden="1" x14ac:dyDescent="0.25">
      <c r="C243" s="66"/>
      <c r="G243" s="99"/>
      <c r="H243" s="96">
        <f t="shared" si="5"/>
        <v>0</v>
      </c>
    </row>
    <row r="244" spans="1:9" ht="15" customHeight="1" x14ac:dyDescent="0.25">
      <c r="B244" s="506" t="s">
        <v>980</v>
      </c>
      <c r="C244" s="242" t="s">
        <v>1012</v>
      </c>
      <c r="D244">
        <v>1.02</v>
      </c>
      <c r="E244">
        <v>17</v>
      </c>
      <c r="F244">
        <v>0.154</v>
      </c>
      <c r="G244" s="99">
        <v>22</v>
      </c>
      <c r="H244" s="96">
        <f>G244*F244*E244*D244</f>
        <v>58.747920000000001</v>
      </c>
    </row>
    <row r="245" spans="1:9" x14ac:dyDescent="0.25">
      <c r="B245" s="506"/>
      <c r="C245" s="242" t="s">
        <v>1020</v>
      </c>
      <c r="D245">
        <v>0.26</v>
      </c>
      <c r="E245">
        <v>17</v>
      </c>
      <c r="F245">
        <v>0.154</v>
      </c>
      <c r="G245" s="99">
        <v>22</v>
      </c>
      <c r="H245" s="96">
        <f t="shared" ref="H245:H247" si="6">G245*F245*E245*D245</f>
        <v>14.974959999999999</v>
      </c>
    </row>
    <row r="246" spans="1:9" ht="27.6" x14ac:dyDescent="0.25">
      <c r="B246" s="506"/>
      <c r="C246" s="242" t="s">
        <v>1017</v>
      </c>
      <c r="D246">
        <v>1.02</v>
      </c>
      <c r="E246">
        <v>9</v>
      </c>
      <c r="F246">
        <v>0.154</v>
      </c>
      <c r="G246" s="99">
        <v>25</v>
      </c>
      <c r="H246" s="96">
        <f t="shared" si="6"/>
        <v>35.342999999999996</v>
      </c>
    </row>
    <row r="247" spans="1:9" ht="27.6" x14ac:dyDescent="0.25">
      <c r="B247" s="506"/>
      <c r="C247" s="242" t="s">
        <v>1021</v>
      </c>
      <c r="D247">
        <v>0.28999999999999998</v>
      </c>
      <c r="E247">
        <v>9</v>
      </c>
      <c r="F247">
        <v>0.154</v>
      </c>
      <c r="G247" s="99">
        <v>25</v>
      </c>
      <c r="H247" s="96">
        <f t="shared" si="6"/>
        <v>10.048499999999999</v>
      </c>
    </row>
    <row r="248" spans="1:9" x14ac:dyDescent="0.25">
      <c r="B248" s="506"/>
      <c r="C248" s="182" t="s">
        <v>1013</v>
      </c>
      <c r="D248">
        <v>1.02</v>
      </c>
      <c r="E248">
        <v>9</v>
      </c>
      <c r="F248">
        <v>0.154</v>
      </c>
      <c r="G248" s="99">
        <v>14</v>
      </c>
      <c r="H248" s="96">
        <f t="shared" ref="H248:H253" si="7">G248*F248*E248*D248</f>
        <v>19.792079999999999</v>
      </c>
    </row>
    <row r="249" spans="1:9" x14ac:dyDescent="0.25">
      <c r="B249" s="506"/>
      <c r="C249" s="182" t="s">
        <v>1018</v>
      </c>
      <c r="D249">
        <v>0.28999999999999998</v>
      </c>
      <c r="E249">
        <v>9</v>
      </c>
      <c r="F249">
        <v>0.154</v>
      </c>
      <c r="G249" s="99">
        <v>10</v>
      </c>
      <c r="H249" s="96">
        <f t="shared" si="7"/>
        <v>4.0193999999999992</v>
      </c>
    </row>
    <row r="250" spans="1:9" x14ac:dyDescent="0.25">
      <c r="B250" s="506"/>
      <c r="C250" s="182" t="s">
        <v>1014</v>
      </c>
      <c r="D250">
        <v>0.95</v>
      </c>
      <c r="E250">
        <v>9</v>
      </c>
      <c r="F250">
        <v>0.154</v>
      </c>
      <c r="G250" s="99">
        <v>16</v>
      </c>
      <c r="H250" s="96">
        <f t="shared" si="7"/>
        <v>21.067199999999996</v>
      </c>
    </row>
    <row r="251" spans="1:9" x14ac:dyDescent="0.25">
      <c r="B251" s="506"/>
      <c r="C251" s="182" t="s">
        <v>1019</v>
      </c>
      <c r="D251">
        <v>0.26562000000000002</v>
      </c>
      <c r="E251">
        <v>9</v>
      </c>
      <c r="F251">
        <v>0.154</v>
      </c>
      <c r="G251" s="99">
        <v>3</v>
      </c>
      <c r="H251" s="96">
        <f t="shared" si="7"/>
        <v>1.1044479599999999</v>
      </c>
    </row>
    <row r="252" spans="1:9" x14ac:dyDescent="0.25">
      <c r="B252" s="506"/>
      <c r="C252" s="182" t="s">
        <v>1015</v>
      </c>
      <c r="D252">
        <v>0.85</v>
      </c>
      <c r="E252">
        <v>9</v>
      </c>
      <c r="F252">
        <v>0.154</v>
      </c>
      <c r="G252" s="99">
        <f>4*3</f>
        <v>12</v>
      </c>
      <c r="H252" s="96">
        <f t="shared" si="7"/>
        <v>14.137199999999998</v>
      </c>
    </row>
    <row r="253" spans="1:9" x14ac:dyDescent="0.25">
      <c r="B253" s="506"/>
      <c r="C253" s="182" t="s">
        <v>1016</v>
      </c>
      <c r="D253">
        <v>0.85</v>
      </c>
      <c r="E253">
        <v>9</v>
      </c>
      <c r="F253">
        <v>0.154</v>
      </c>
      <c r="G253" s="99">
        <v>8</v>
      </c>
      <c r="H253" s="96">
        <f t="shared" si="7"/>
        <v>9.4247999999999994</v>
      </c>
    </row>
    <row r="254" spans="1:9" x14ac:dyDescent="0.25">
      <c r="C254" s="66"/>
      <c r="G254" s="99"/>
    </row>
    <row r="256" spans="1:9" ht="37.5" customHeight="1" x14ac:dyDescent="0.25">
      <c r="A256" s="80" t="s">
        <v>634</v>
      </c>
      <c r="B256" s="81"/>
      <c r="C256" s="82" t="str">
        <f>VLOOKUP(A256,'Orçamento Sintético'!A:J,4,0)</f>
        <v>CONCRETAGEM DE SAPATAS, FCK 30 MPA, COM USO DE BOMBA  LANÇAMENTO, ADENSAMENTO E ACABAMENTO. AF_11/2016</v>
      </c>
      <c r="D256" s="81"/>
      <c r="E256" s="81" t="str">
        <f>VLOOKUP(A256,'Orçamento Sintético'!A:J,5,0)</f>
        <v>m³</v>
      </c>
      <c r="F256" s="462" t="s">
        <v>966</v>
      </c>
      <c r="G256" s="462"/>
      <c r="H256" s="85">
        <f>H265</f>
        <v>2.5</v>
      </c>
      <c r="I256" s="216"/>
    </row>
    <row r="257" spans="1:9" x14ac:dyDescent="0.25">
      <c r="A257" s="65"/>
      <c r="B257" s="65"/>
      <c r="C257" s="66"/>
      <c r="D257" s="67"/>
      <c r="E257" s="67"/>
      <c r="F257" s="463" t="s">
        <v>578</v>
      </c>
      <c r="G257" s="464"/>
      <c r="H257" s="68"/>
    </row>
    <row r="258" spans="1:9" x14ac:dyDescent="0.25">
      <c r="A258" s="65"/>
      <c r="B258" s="65"/>
      <c r="C258" s="66"/>
      <c r="D258" s="67"/>
      <c r="E258" s="67"/>
      <c r="F258" s="456" t="s">
        <v>579</v>
      </c>
      <c r="G258" s="456"/>
      <c r="H258" s="68">
        <f>VLOOKUP(A256,'Orçamento Sintético'!A:J,6,0)</f>
        <v>16.12</v>
      </c>
    </row>
    <row r="259" spans="1:9" x14ac:dyDescent="0.25">
      <c r="A259" s="65"/>
      <c r="B259" s="65"/>
      <c r="C259" s="66"/>
      <c r="D259" s="67"/>
      <c r="E259" s="67"/>
      <c r="F259" s="456" t="s">
        <v>596</v>
      </c>
      <c r="G259" s="456"/>
      <c r="H259" s="69">
        <f>SUM(H262:H265)</f>
        <v>16.119999999999997</v>
      </c>
    </row>
    <row r="260" spans="1:9" x14ac:dyDescent="0.25">
      <c r="A260" s="65"/>
      <c r="B260" s="65"/>
      <c r="C260" s="66"/>
      <c r="D260" s="67"/>
      <c r="E260" s="67"/>
      <c r="F260" s="457" t="s">
        <v>580</v>
      </c>
      <c r="G260" s="457"/>
      <c r="H260" s="69">
        <f>H258-H259</f>
        <v>0</v>
      </c>
    </row>
    <row r="261" spans="1:9" x14ac:dyDescent="0.25">
      <c r="A261" s="65"/>
      <c r="B261" s="65"/>
      <c r="C261" s="66"/>
      <c r="D261" s="70" t="s">
        <v>971</v>
      </c>
      <c r="E261" s="70" t="s">
        <v>972</v>
      </c>
      <c r="F261" s="70" t="s">
        <v>973</v>
      </c>
      <c r="G261" s="71" t="s">
        <v>584</v>
      </c>
      <c r="H261" s="75"/>
    </row>
    <row r="262" spans="1:9" hidden="1" x14ac:dyDescent="0.25">
      <c r="A262" s="65"/>
      <c r="B262" s="72" t="s">
        <v>612</v>
      </c>
      <c r="C262" s="66" t="s">
        <v>953</v>
      </c>
      <c r="D262" s="67"/>
      <c r="E262" s="67"/>
      <c r="F262" s="73">
        <v>10.59</v>
      </c>
      <c r="G262" s="98"/>
      <c r="H262" s="96">
        <f>F262</f>
        <v>10.59</v>
      </c>
    </row>
    <row r="263" spans="1:9" hidden="1" x14ac:dyDescent="0.25">
      <c r="C263" s="66" t="s">
        <v>954</v>
      </c>
      <c r="F263">
        <v>3.03</v>
      </c>
      <c r="G263" s="99"/>
      <c r="H263" s="96">
        <f t="shared" ref="H263:H264" si="8">F263</f>
        <v>3.03</v>
      </c>
    </row>
    <row r="264" spans="1:9" hidden="1" x14ac:dyDescent="0.25">
      <c r="H264" s="96">
        <f t="shared" si="8"/>
        <v>0</v>
      </c>
    </row>
    <row r="265" spans="1:9" x14ac:dyDescent="0.25">
      <c r="B265" s="239" t="s">
        <v>980</v>
      </c>
      <c r="C265" s="182" t="s">
        <v>968</v>
      </c>
      <c r="F265">
        <v>2.5</v>
      </c>
      <c r="H265" s="217">
        <f>F265</f>
        <v>2.5</v>
      </c>
    </row>
    <row r="266" spans="1:9" hidden="1" x14ac:dyDescent="0.25">
      <c r="B266" s="507" t="s">
        <v>1025</v>
      </c>
      <c r="C266" s="243" t="s">
        <v>1022</v>
      </c>
    </row>
    <row r="267" spans="1:9" hidden="1" x14ac:dyDescent="0.25">
      <c r="B267" s="508"/>
      <c r="C267" s="243" t="s">
        <v>1023</v>
      </c>
    </row>
    <row r="268" spans="1:9" hidden="1" x14ac:dyDescent="0.25">
      <c r="B268" s="508"/>
      <c r="C268" s="243" t="s">
        <v>1024</v>
      </c>
    </row>
    <row r="269" spans="1:9" hidden="1" x14ac:dyDescent="0.25">
      <c r="B269" s="508"/>
      <c r="C269" s="244" t="s">
        <v>986</v>
      </c>
    </row>
    <row r="270" spans="1:9" x14ac:dyDescent="0.25">
      <c r="G270" s="221" t="s">
        <v>969</v>
      </c>
      <c r="H270" s="220">
        <f>-H260</f>
        <v>0</v>
      </c>
    </row>
    <row r="271" spans="1:9" ht="37.5" customHeight="1" x14ac:dyDescent="0.25">
      <c r="A271" s="80" t="s">
        <v>635</v>
      </c>
      <c r="B271" s="81"/>
      <c r="C271" s="82" t="str">
        <f>VLOOKUP(A271,'Orçamento Sintético'!A:J,4,0)</f>
        <v>FABRICAÇÃO, MONTAGEM E DESMONTAGEM DE FÔRMA PARA VIGA BALDRAME, EM MADEIRA SERRADA, E=25 MM, 4 UTILIZAÇÕES. AF_06/2017</v>
      </c>
      <c r="D271" s="81"/>
      <c r="E271" s="81" t="str">
        <f>VLOOKUP(A271,'Orçamento Sintético'!A:J,5,0)</f>
        <v>m²</v>
      </c>
      <c r="F271" s="462" t="s">
        <v>966</v>
      </c>
      <c r="G271" s="462"/>
      <c r="H271" s="85">
        <f>SUM(H279:H284)</f>
        <v>405.84</v>
      </c>
      <c r="I271" s="216"/>
    </row>
    <row r="272" spans="1:9" x14ac:dyDescent="0.25">
      <c r="A272" s="65"/>
      <c r="B272" s="65"/>
      <c r="C272" s="66"/>
      <c r="D272" s="67"/>
      <c r="E272" s="67"/>
      <c r="F272" s="463" t="s">
        <v>578</v>
      </c>
      <c r="G272" s="464"/>
      <c r="H272" s="68"/>
    </row>
    <row r="273" spans="1:9" x14ac:dyDescent="0.25">
      <c r="A273" s="65"/>
      <c r="B273" s="65"/>
      <c r="C273" s="66"/>
      <c r="D273" s="67"/>
      <c r="E273" s="67"/>
      <c r="F273" s="456" t="s">
        <v>579</v>
      </c>
      <c r="G273" s="456"/>
      <c r="H273" s="68">
        <f>VLOOKUP(A271,'Orçamento Sintético'!A:J,6,0)</f>
        <v>463.48</v>
      </c>
    </row>
    <row r="274" spans="1:9" x14ac:dyDescent="0.25">
      <c r="A274" s="65"/>
      <c r="B274" s="65"/>
      <c r="C274" s="66"/>
      <c r="D274" s="67"/>
      <c r="E274" s="67"/>
      <c r="F274" s="456" t="s">
        <v>596</v>
      </c>
      <c r="G274" s="456"/>
      <c r="H274" s="69">
        <f>SUM(H277:H284)</f>
        <v>463.47999999999996</v>
      </c>
    </row>
    <row r="275" spans="1:9" x14ac:dyDescent="0.25">
      <c r="A275" s="65"/>
      <c r="B275" s="65"/>
      <c r="C275" s="66"/>
      <c r="D275" s="67"/>
      <c r="E275" s="67"/>
      <c r="F275" s="457" t="s">
        <v>580</v>
      </c>
      <c r="G275" s="457"/>
      <c r="H275" s="69">
        <f>H273-H274</f>
        <v>0</v>
      </c>
    </row>
    <row r="276" spans="1:9" x14ac:dyDescent="0.25">
      <c r="A276" s="65"/>
      <c r="B276" s="65"/>
      <c r="C276" s="66"/>
      <c r="D276" s="70" t="s">
        <v>971</v>
      </c>
      <c r="E276" s="70" t="s">
        <v>972</v>
      </c>
      <c r="F276" s="70" t="s">
        <v>1030</v>
      </c>
      <c r="G276" s="71" t="s">
        <v>584</v>
      </c>
      <c r="H276" s="75"/>
    </row>
    <row r="277" spans="1:9" hidden="1" x14ac:dyDescent="0.25">
      <c r="A277" s="65"/>
      <c r="B277" s="72" t="s">
        <v>612</v>
      </c>
      <c r="C277" s="66" t="s">
        <v>873</v>
      </c>
      <c r="D277" s="67"/>
      <c r="E277" s="67"/>
      <c r="F277" s="73"/>
      <c r="G277" s="98">
        <v>57.64</v>
      </c>
      <c r="H277" s="96">
        <f>G277</f>
        <v>57.64</v>
      </c>
    </row>
    <row r="278" spans="1:9" hidden="1" x14ac:dyDescent="0.25">
      <c r="C278" s="66"/>
      <c r="G278" s="99"/>
    </row>
    <row r="279" spans="1:9" x14ac:dyDescent="0.25">
      <c r="B279" s="455" t="s">
        <v>980</v>
      </c>
      <c r="C279" s="66" t="s">
        <v>1078</v>
      </c>
      <c r="D279">
        <v>106.66</v>
      </c>
      <c r="E279">
        <v>0.8</v>
      </c>
      <c r="F279">
        <f>E279*D279*2</f>
        <v>170.65600000000001</v>
      </c>
      <c r="G279" s="99"/>
      <c r="H279">
        <f>F279</f>
        <v>170.65600000000001</v>
      </c>
    </row>
    <row r="280" spans="1:9" ht="15" customHeight="1" x14ac:dyDescent="0.25">
      <c r="B280" s="455"/>
      <c r="C280" s="66" t="s">
        <v>1026</v>
      </c>
      <c r="D280">
        <f>48.55</f>
        <v>48.55</v>
      </c>
      <c r="E280">
        <v>0.4</v>
      </c>
      <c r="F280">
        <f>D280*E280*2</f>
        <v>38.840000000000003</v>
      </c>
      <c r="G280" s="99"/>
      <c r="H280" s="95">
        <f>F280</f>
        <v>38.840000000000003</v>
      </c>
      <c r="I280" s="182"/>
    </row>
    <row r="281" spans="1:9" ht="15" customHeight="1" x14ac:dyDescent="0.25">
      <c r="B281" s="455"/>
      <c r="C281" s="66" t="s">
        <v>1028</v>
      </c>
      <c r="D281">
        <v>7.7</v>
      </c>
      <c r="E281">
        <v>0.4</v>
      </c>
      <c r="F281">
        <f>D281*E281*2*3</f>
        <v>18.48</v>
      </c>
      <c r="G281" s="99"/>
      <c r="H281" s="95">
        <f t="shared" ref="H281:H283" si="9">F281</f>
        <v>18.48</v>
      </c>
    </row>
    <row r="282" spans="1:9" ht="15" customHeight="1" x14ac:dyDescent="0.25">
      <c r="B282" s="455"/>
      <c r="C282" s="66" t="s">
        <v>981</v>
      </c>
      <c r="D282">
        <f>87.47</f>
        <v>87.47</v>
      </c>
      <c r="E282">
        <v>0.4</v>
      </c>
      <c r="F282">
        <f t="shared" ref="F282:F284" si="10">D282*E282*2</f>
        <v>69.975999999999999</v>
      </c>
      <c r="G282" s="99"/>
      <c r="H282" s="95">
        <f t="shared" si="9"/>
        <v>69.975999999999999</v>
      </c>
    </row>
    <row r="283" spans="1:9" ht="15" customHeight="1" x14ac:dyDescent="0.25">
      <c r="B283" s="455"/>
      <c r="C283" s="66" t="s">
        <v>982</v>
      </c>
      <c r="D283">
        <v>87.85</v>
      </c>
      <c r="E283">
        <v>0.4</v>
      </c>
      <c r="F283">
        <f t="shared" si="10"/>
        <v>70.28</v>
      </c>
      <c r="G283" s="99"/>
      <c r="H283" s="95">
        <f t="shared" si="9"/>
        <v>70.28</v>
      </c>
    </row>
    <row r="284" spans="1:9" ht="15" customHeight="1" x14ac:dyDescent="0.25">
      <c r="B284" s="455"/>
      <c r="C284" s="66" t="s">
        <v>1029</v>
      </c>
      <c r="D284">
        <f>14.5+32.5</f>
        <v>47</v>
      </c>
      <c r="E284">
        <v>0.4</v>
      </c>
      <c r="F284">
        <f t="shared" si="10"/>
        <v>37.6</v>
      </c>
      <c r="G284" s="99"/>
      <c r="H284" s="95">
        <f>F284+0.008</f>
        <v>37.608000000000004</v>
      </c>
    </row>
    <row r="285" spans="1:9" x14ac:dyDescent="0.25">
      <c r="C285" s="66"/>
      <c r="G285" s="99"/>
    </row>
    <row r="286" spans="1:9" x14ac:dyDescent="0.25">
      <c r="C286" s="66"/>
      <c r="G286" s="99"/>
    </row>
    <row r="287" spans="1:9" ht="37.5" customHeight="1" x14ac:dyDescent="0.25">
      <c r="A287" s="80" t="s">
        <v>641</v>
      </c>
      <c r="B287" s="81"/>
      <c r="C287" s="82" t="str">
        <f>VLOOKUP(A287,'Orçamento Sintético'!A:J,4,0)</f>
        <v>ARMAÇÃO DE ESTRUTURAS DIVERSAS DE CONCRETO ARMADO, EXCETO VIGAS, PILARES, LAJES E FUNDAÇÕES, UTILIZANDO AÇO CA-50 DE 8,0 MM - MONTAGEM. AF_06/2022</v>
      </c>
      <c r="D287" s="81"/>
      <c r="E287" s="81" t="str">
        <f>VLOOKUP(A287,'Orçamento Sintético'!A:J,5,0)</f>
        <v>KG</v>
      </c>
      <c r="F287" s="462" t="s">
        <v>966</v>
      </c>
      <c r="G287" s="462"/>
      <c r="H287" s="85">
        <f>H296+H297+H298+H299+H300</f>
        <v>417.5</v>
      </c>
      <c r="I287" s="216"/>
    </row>
    <row r="288" spans="1:9" x14ac:dyDescent="0.25">
      <c r="A288" s="65"/>
      <c r="B288" s="65"/>
      <c r="C288" s="66"/>
      <c r="D288" s="67"/>
      <c r="E288" s="67"/>
      <c r="F288" s="463" t="s">
        <v>578</v>
      </c>
      <c r="G288" s="464"/>
      <c r="H288" s="68"/>
    </row>
    <row r="289" spans="1:8" x14ac:dyDescent="0.25">
      <c r="A289" s="65"/>
      <c r="B289" s="65"/>
      <c r="C289" s="66"/>
      <c r="D289" s="67"/>
      <c r="E289" s="67"/>
      <c r="F289" s="456" t="s">
        <v>579</v>
      </c>
      <c r="G289" s="456"/>
      <c r="H289" s="68">
        <f>VLOOKUP(A287,'Orçamento Sintético'!A:J,6,0)</f>
        <v>829.82</v>
      </c>
    </row>
    <row r="290" spans="1:8" x14ac:dyDescent="0.25">
      <c r="A290" s="65"/>
      <c r="B290" s="65"/>
      <c r="C290" s="66"/>
      <c r="D290" s="67"/>
      <c r="E290" s="67"/>
      <c r="F290" s="456" t="s">
        <v>596</v>
      </c>
      <c r="G290" s="456"/>
      <c r="H290" s="69">
        <f>SUM(H293:H300)</f>
        <v>829.81999999999994</v>
      </c>
    </row>
    <row r="291" spans="1:8" x14ac:dyDescent="0.25">
      <c r="A291" s="65"/>
      <c r="B291" s="65"/>
      <c r="C291" s="66"/>
      <c r="D291" s="67"/>
      <c r="E291" s="67"/>
      <c r="F291" s="457" t="s">
        <v>580</v>
      </c>
      <c r="G291" s="457"/>
      <c r="H291" s="69">
        <f>H289-H290</f>
        <v>0</v>
      </c>
    </row>
    <row r="292" spans="1:8" x14ac:dyDescent="0.25">
      <c r="A292" s="65"/>
      <c r="B292" s="65"/>
      <c r="C292" s="66"/>
      <c r="D292" s="70" t="s">
        <v>971</v>
      </c>
      <c r="E292" s="70" t="s">
        <v>974</v>
      </c>
      <c r="F292" s="70" t="s">
        <v>975</v>
      </c>
      <c r="G292" s="71" t="s">
        <v>584</v>
      </c>
      <c r="H292" s="75"/>
    </row>
    <row r="293" spans="1:8" hidden="1" x14ac:dyDescent="0.25">
      <c r="A293" s="65"/>
      <c r="B293" s="72" t="s">
        <v>612</v>
      </c>
      <c r="C293" s="66" t="s">
        <v>873</v>
      </c>
      <c r="D293" s="67"/>
      <c r="E293" s="67"/>
      <c r="F293" s="73">
        <v>412.32</v>
      </c>
      <c r="G293" s="98"/>
      <c r="H293" s="96">
        <f>F293</f>
        <v>412.32</v>
      </c>
    </row>
    <row r="294" spans="1:8" hidden="1" x14ac:dyDescent="0.25">
      <c r="H294" s="96">
        <f t="shared" ref="H294:H295" si="11">F294</f>
        <v>0</v>
      </c>
    </row>
    <row r="295" spans="1:8" hidden="1" x14ac:dyDescent="0.25">
      <c r="H295" s="96">
        <f t="shared" si="11"/>
        <v>0</v>
      </c>
    </row>
    <row r="296" spans="1:8" ht="15" customHeight="1" x14ac:dyDescent="0.25">
      <c r="B296" s="506" t="s">
        <v>980</v>
      </c>
      <c r="C296" s="182" t="s">
        <v>1031</v>
      </c>
      <c r="F296">
        <v>133.6</v>
      </c>
      <c r="H296" s="96">
        <f>F296</f>
        <v>133.6</v>
      </c>
    </row>
    <row r="297" spans="1:8" x14ac:dyDescent="0.25">
      <c r="B297" s="506"/>
      <c r="C297" s="182" t="s">
        <v>1032</v>
      </c>
      <c r="F297">
        <v>76.900000000000006</v>
      </c>
      <c r="H297" s="96">
        <f t="shared" ref="H297:H300" si="12">F297</f>
        <v>76.900000000000006</v>
      </c>
    </row>
    <row r="298" spans="1:8" x14ac:dyDescent="0.25">
      <c r="B298" s="506"/>
      <c r="C298" s="182" t="s">
        <v>1033</v>
      </c>
      <c r="F298">
        <v>35</v>
      </c>
      <c r="H298" s="96">
        <f t="shared" si="12"/>
        <v>35</v>
      </c>
    </row>
    <row r="299" spans="1:8" x14ac:dyDescent="0.25">
      <c r="B299" s="506"/>
      <c r="C299" s="182" t="s">
        <v>1034</v>
      </c>
      <c r="F299">
        <v>26.5</v>
      </c>
      <c r="G299">
        <v>3</v>
      </c>
      <c r="H299" s="96">
        <f>F299*G299</f>
        <v>79.5</v>
      </c>
    </row>
    <row r="300" spans="1:8" x14ac:dyDescent="0.25">
      <c r="B300" s="506"/>
      <c r="C300" s="182" t="s">
        <v>1035</v>
      </c>
      <c r="F300">
        <v>92.5</v>
      </c>
      <c r="H300" s="96">
        <f t="shared" si="12"/>
        <v>92.5</v>
      </c>
    </row>
    <row r="302" spans="1:8" ht="39.6" x14ac:dyDescent="0.25">
      <c r="A302" s="80" t="s">
        <v>642</v>
      </c>
      <c r="B302" s="81"/>
      <c r="C302" s="82" t="str">
        <f>VLOOKUP(A302,'Orçamento Sintético'!A:J,4,0)</f>
        <v>ARMAÇÃO DE ESTRUTURAS DIVERSAS DE CONCRETO ARMADO, EXCETO VIGAS, PILARES, LAJES E FUNDAÇÕES, UTILIZANDO AÇO CA-50 DE 10,0 MM - MONTAGEM. AF_06/2022</v>
      </c>
      <c r="D302" s="81"/>
      <c r="E302" s="81" t="str">
        <f>VLOOKUP(A302,'Orçamento Sintético'!A:J,5,0)</f>
        <v>KG</v>
      </c>
      <c r="F302" s="462" t="s">
        <v>966</v>
      </c>
      <c r="G302" s="462"/>
      <c r="H302" s="85">
        <f>H309+H310</f>
        <v>100.82000000000001</v>
      </c>
    </row>
    <row r="303" spans="1:8" x14ac:dyDescent="0.25">
      <c r="A303" s="65"/>
      <c r="B303" s="65"/>
      <c r="C303" s="66"/>
      <c r="D303" s="67"/>
      <c r="E303" s="67"/>
      <c r="F303" s="463" t="s">
        <v>578</v>
      </c>
      <c r="G303" s="464"/>
      <c r="H303" s="68"/>
    </row>
    <row r="304" spans="1:8" x14ac:dyDescent="0.25">
      <c r="A304" s="65"/>
      <c r="B304" s="65"/>
      <c r="C304" s="66"/>
      <c r="D304" s="67"/>
      <c r="E304" s="67"/>
      <c r="F304" s="456" t="s">
        <v>579</v>
      </c>
      <c r="G304" s="456"/>
      <c r="H304" s="68">
        <f>VLOOKUP(A302,'Orçamento Sintético'!A:J,6,0)</f>
        <v>100.82</v>
      </c>
    </row>
    <row r="305" spans="1:9" x14ac:dyDescent="0.25">
      <c r="A305" s="65"/>
      <c r="B305" s="65"/>
      <c r="C305" s="66"/>
      <c r="D305" s="67"/>
      <c r="E305" s="67"/>
      <c r="F305" s="456" t="s">
        <v>596</v>
      </c>
      <c r="G305" s="456"/>
      <c r="H305" s="69">
        <f>SUM(H308:H311)</f>
        <v>100.82000000000001</v>
      </c>
    </row>
    <row r="306" spans="1:9" x14ac:dyDescent="0.25">
      <c r="A306" s="65"/>
      <c r="B306" s="65"/>
      <c r="C306" s="66"/>
      <c r="D306" s="67"/>
      <c r="E306" s="67"/>
      <c r="F306" s="457" t="s">
        <v>580</v>
      </c>
      <c r="G306" s="457"/>
      <c r="H306" s="69">
        <f>H304-H305</f>
        <v>0</v>
      </c>
    </row>
    <row r="307" spans="1:9" x14ac:dyDescent="0.25">
      <c r="A307" s="65"/>
      <c r="B307" s="65"/>
      <c r="C307" s="66"/>
      <c r="D307" s="70" t="s">
        <v>971</v>
      </c>
      <c r="E307" s="70" t="s">
        <v>974</v>
      </c>
      <c r="F307" s="70" t="s">
        <v>975</v>
      </c>
      <c r="G307" s="71" t="s">
        <v>584</v>
      </c>
      <c r="H307" s="75"/>
    </row>
    <row r="308" spans="1:9" x14ac:dyDescent="0.25">
      <c r="A308" s="65"/>
      <c r="B308" s="72"/>
      <c r="C308" s="66"/>
      <c r="D308" s="67"/>
      <c r="E308" s="67"/>
      <c r="F308" s="73"/>
      <c r="G308" s="98"/>
      <c r="H308" s="96"/>
    </row>
    <row r="309" spans="1:9" ht="15" customHeight="1" x14ac:dyDescent="0.25">
      <c r="B309" s="506" t="s">
        <v>980</v>
      </c>
      <c r="C309" s="182" t="s">
        <v>1031</v>
      </c>
      <c r="F309">
        <f>10.5+3.42</f>
        <v>13.92</v>
      </c>
      <c r="H309">
        <f>F309</f>
        <v>13.92</v>
      </c>
    </row>
    <row r="310" spans="1:9" x14ac:dyDescent="0.25">
      <c r="B310" s="506"/>
      <c r="C310" s="182" t="s">
        <v>1032</v>
      </c>
      <c r="F310">
        <v>86.9</v>
      </c>
      <c r="H310">
        <f>F310</f>
        <v>86.9</v>
      </c>
    </row>
    <row r="311" spans="1:9" x14ac:dyDescent="0.25">
      <c r="C311" s="182"/>
    </row>
    <row r="312" spans="1:9" x14ac:dyDescent="0.25">
      <c r="C312" s="66"/>
    </row>
    <row r="313" spans="1:9" ht="37.5" customHeight="1" x14ac:dyDescent="0.25">
      <c r="A313" s="80" t="s">
        <v>643</v>
      </c>
      <c r="B313" s="81"/>
      <c r="C313" s="82" t="str">
        <f>VLOOKUP(A313,'Orçamento Sintético'!A:J,4,0)</f>
        <v>ARMAÇÃO DE ESTRUTURAS DIVERSAS DE CONCRETO ARMADO, EXCETO VIGAS, PILARES, LAJES E FUNDAÇÕES, UTILIZANDO AÇO CA-60 DE 5,0 MM - MONTAGEM. AF_06/2022</v>
      </c>
      <c r="D313" s="81"/>
      <c r="E313" s="81" t="str">
        <f>VLOOKUP(A313,'Orçamento Sintético'!A:J,5,0)</f>
        <v>KG</v>
      </c>
      <c r="F313" s="462" t="s">
        <v>966</v>
      </c>
      <c r="G313" s="462"/>
      <c r="H313" s="85">
        <f>H322+H323+H324+H325+H326+H321</f>
        <v>226.98000000000002</v>
      </c>
      <c r="I313" s="216"/>
    </row>
    <row r="314" spans="1:9" x14ac:dyDescent="0.25">
      <c r="A314" s="65"/>
      <c r="B314" s="65"/>
      <c r="C314" s="66"/>
      <c r="D314" s="67"/>
      <c r="E314" s="67"/>
      <c r="F314" s="463" t="s">
        <v>578</v>
      </c>
      <c r="G314" s="464"/>
      <c r="H314" s="68"/>
    </row>
    <row r="315" spans="1:9" x14ac:dyDescent="0.25">
      <c r="A315" s="65"/>
      <c r="B315" s="65"/>
      <c r="C315" s="66"/>
      <c r="D315" s="67"/>
      <c r="E315" s="67"/>
      <c r="F315" s="456" t="s">
        <v>579</v>
      </c>
      <c r="G315" s="456"/>
      <c r="H315" s="68">
        <f>VLOOKUP(A313,'Orçamento Sintético'!A:J,6,0)</f>
        <v>395</v>
      </c>
    </row>
    <row r="316" spans="1:9" x14ac:dyDescent="0.25">
      <c r="A316" s="65"/>
      <c r="B316" s="65"/>
      <c r="C316" s="66"/>
      <c r="D316" s="67"/>
      <c r="E316" s="67"/>
      <c r="F316" s="456" t="s">
        <v>596</v>
      </c>
      <c r="G316" s="456"/>
      <c r="H316" s="69">
        <f>SUM(H319:H326)</f>
        <v>395.00000000000006</v>
      </c>
    </row>
    <row r="317" spans="1:9" x14ac:dyDescent="0.25">
      <c r="A317" s="65"/>
      <c r="B317" s="65"/>
      <c r="C317" s="66"/>
      <c r="D317" s="67"/>
      <c r="E317" s="67"/>
      <c r="F317" s="457" t="s">
        <v>580</v>
      </c>
      <c r="G317" s="457"/>
      <c r="H317" s="69">
        <f>H315-H316</f>
        <v>0</v>
      </c>
    </row>
    <row r="318" spans="1:9" x14ac:dyDescent="0.25">
      <c r="A318" s="65"/>
      <c r="B318" s="65"/>
      <c r="C318" s="66"/>
      <c r="D318" s="70" t="s">
        <v>971</v>
      </c>
      <c r="E318" s="70" t="s">
        <v>974</v>
      </c>
      <c r="F318" s="70" t="s">
        <v>975</v>
      </c>
      <c r="G318" s="71" t="s">
        <v>584</v>
      </c>
      <c r="H318" s="75"/>
    </row>
    <row r="319" spans="1:9" hidden="1" x14ac:dyDescent="0.25">
      <c r="A319" s="65"/>
      <c r="B319" s="72" t="s">
        <v>612</v>
      </c>
      <c r="C319" s="66" t="s">
        <v>873</v>
      </c>
      <c r="D319" s="67"/>
      <c r="E319" s="67"/>
      <c r="F319" s="73">
        <v>168.02</v>
      </c>
      <c r="G319" s="98"/>
      <c r="H319" s="96">
        <f>F319</f>
        <v>168.02</v>
      </c>
    </row>
    <row r="320" spans="1:9" hidden="1" x14ac:dyDescent="0.25">
      <c r="H320" s="96">
        <f t="shared" ref="H320" si="13">F320</f>
        <v>0</v>
      </c>
    </row>
    <row r="321" spans="1:9" x14ac:dyDescent="0.25">
      <c r="B321" s="455" t="s">
        <v>980</v>
      </c>
      <c r="C321" s="182" t="s">
        <v>1080</v>
      </c>
      <c r="F321">
        <v>6.08</v>
      </c>
      <c r="H321" s="96">
        <f>F321</f>
        <v>6.08</v>
      </c>
    </row>
    <row r="322" spans="1:9" ht="15" customHeight="1" x14ac:dyDescent="0.25">
      <c r="B322" s="455"/>
      <c r="C322" s="182" t="s">
        <v>1031</v>
      </c>
      <c r="F322">
        <v>66</v>
      </c>
      <c r="H322" s="96">
        <f>F322</f>
        <v>66</v>
      </c>
    </row>
    <row r="323" spans="1:9" ht="14.25" customHeight="1" x14ac:dyDescent="0.25">
      <c r="B323" s="455"/>
      <c r="C323" s="182" t="s">
        <v>1032</v>
      </c>
      <c r="F323">
        <v>63.5</v>
      </c>
      <c r="H323" s="96">
        <f t="shared" ref="H323:H327" si="14">F323</f>
        <v>63.5</v>
      </c>
    </row>
    <row r="324" spans="1:9" ht="14.25" customHeight="1" x14ac:dyDescent="0.25">
      <c r="B324" s="455"/>
      <c r="C324" s="182" t="s">
        <v>1033</v>
      </c>
      <c r="F324">
        <v>11.8</v>
      </c>
      <c r="H324" s="96">
        <f t="shared" si="14"/>
        <v>11.8</v>
      </c>
    </row>
    <row r="325" spans="1:9" ht="14.25" customHeight="1" x14ac:dyDescent="0.25">
      <c r="B325" s="455"/>
      <c r="C325" s="182" t="s">
        <v>1034</v>
      </c>
      <c r="F325">
        <v>8.1999999999999993</v>
      </c>
      <c r="G325">
        <v>3</v>
      </c>
      <c r="H325" s="96">
        <f>F325*G325</f>
        <v>24.599999999999998</v>
      </c>
    </row>
    <row r="326" spans="1:9" ht="14.25" customHeight="1" x14ac:dyDescent="0.25">
      <c r="B326" s="455"/>
      <c r="C326" s="182" t="s">
        <v>1035</v>
      </c>
      <c r="F326">
        <v>55</v>
      </c>
      <c r="H326" s="96">
        <f t="shared" si="14"/>
        <v>55</v>
      </c>
    </row>
    <row r="327" spans="1:9" x14ac:dyDescent="0.25">
      <c r="C327" s="182"/>
      <c r="H327" s="96">
        <f t="shared" si="14"/>
        <v>0</v>
      </c>
    </row>
    <row r="328" spans="1:9" x14ac:dyDescent="0.25">
      <c r="C328" s="182"/>
    </row>
    <row r="329" spans="1:9" ht="37.5" customHeight="1" x14ac:dyDescent="0.25">
      <c r="A329" s="80" t="s">
        <v>644</v>
      </c>
      <c r="B329" s="81"/>
      <c r="C329" s="82" t="str">
        <f>VLOOKUP(A329,'Orçamento Sintético'!A:J,4,0)</f>
        <v>CONCRETAGEM DE BLOCOS DE COROAMENTO E VIGAS BALDRAMES, FCK 30 MPA, COM USO DE BOMBA  LANÇAMENTO, ADENSAMENTO E ACABAMENTO. AF_06/2017</v>
      </c>
      <c r="D329" s="81"/>
      <c r="E329" s="81" t="str">
        <f>VLOOKUP(A329,'Orçamento Sintético'!A:J,5,0)</f>
        <v>m³</v>
      </c>
      <c r="F329" s="462" t="s">
        <v>966</v>
      </c>
      <c r="G329" s="462"/>
      <c r="H329" s="85">
        <f>H338+H339+H340+H341+H342</f>
        <v>14.739999999999998</v>
      </c>
      <c r="I329" s="216"/>
    </row>
    <row r="330" spans="1:9" x14ac:dyDescent="0.25">
      <c r="A330" s="65"/>
      <c r="B330" s="65"/>
      <c r="C330" s="66"/>
      <c r="D330" s="67"/>
      <c r="E330" s="67"/>
      <c r="F330" s="463" t="s">
        <v>578</v>
      </c>
      <c r="G330" s="464"/>
      <c r="H330" s="68"/>
    </row>
    <row r="331" spans="1:9" x14ac:dyDescent="0.25">
      <c r="A331" s="65"/>
      <c r="B331" s="65"/>
      <c r="C331" s="66"/>
      <c r="D331" s="67"/>
      <c r="E331" s="67"/>
      <c r="F331" s="456" t="s">
        <v>579</v>
      </c>
      <c r="G331" s="456"/>
      <c r="H331" s="68">
        <f>VLOOKUP(A329,'Orçamento Sintético'!A:J,6,0)</f>
        <v>26.87</v>
      </c>
    </row>
    <row r="332" spans="1:9" x14ac:dyDescent="0.25">
      <c r="A332" s="65"/>
      <c r="B332" s="65"/>
      <c r="C332" s="66"/>
      <c r="D332" s="67"/>
      <c r="E332" s="67"/>
      <c r="F332" s="456" t="s">
        <v>596</v>
      </c>
      <c r="G332" s="456"/>
      <c r="H332" s="69">
        <f>SUM(H335:H342)</f>
        <v>26.870000000000005</v>
      </c>
    </row>
    <row r="333" spans="1:9" x14ac:dyDescent="0.25">
      <c r="A333" s="65"/>
      <c r="B333" s="65"/>
      <c r="C333" s="66"/>
      <c r="D333" s="67"/>
      <c r="E333" s="67"/>
      <c r="F333" s="457" t="s">
        <v>580</v>
      </c>
      <c r="G333" s="457"/>
      <c r="H333" s="69">
        <f>H331-H332</f>
        <v>0</v>
      </c>
    </row>
    <row r="334" spans="1:9" x14ac:dyDescent="0.25">
      <c r="A334" s="65"/>
      <c r="B334" s="65"/>
      <c r="C334" s="66"/>
      <c r="D334" s="70" t="s">
        <v>971</v>
      </c>
      <c r="E334" s="70" t="s">
        <v>972</v>
      </c>
      <c r="F334" s="70" t="s">
        <v>973</v>
      </c>
      <c r="G334" s="71" t="s">
        <v>584</v>
      </c>
      <c r="H334" s="75"/>
    </row>
    <row r="335" spans="1:9" hidden="1" x14ac:dyDescent="0.25">
      <c r="A335" s="65"/>
      <c r="B335" s="72" t="s">
        <v>612</v>
      </c>
      <c r="C335" s="66" t="s">
        <v>873</v>
      </c>
      <c r="D335" s="67"/>
      <c r="E335" s="67"/>
      <c r="F335" s="73">
        <v>12.13</v>
      </c>
      <c r="G335" s="98"/>
      <c r="H335" s="96">
        <f>F335</f>
        <v>12.13</v>
      </c>
    </row>
    <row r="336" spans="1:9" hidden="1" x14ac:dyDescent="0.25">
      <c r="H336" s="96">
        <f t="shared" ref="H336:H338" si="15">F336</f>
        <v>0</v>
      </c>
    </row>
    <row r="337" spans="1:8" hidden="1" x14ac:dyDescent="0.25">
      <c r="H337" s="96">
        <f t="shared" si="15"/>
        <v>0</v>
      </c>
    </row>
    <row r="338" spans="1:8" x14ac:dyDescent="0.25">
      <c r="B338" s="506" t="s">
        <v>980</v>
      </c>
      <c r="C338" s="182" t="s">
        <v>970</v>
      </c>
      <c r="F338">
        <v>3.02</v>
      </c>
      <c r="H338" s="96">
        <f t="shared" si="15"/>
        <v>3.02</v>
      </c>
    </row>
    <row r="339" spans="1:8" x14ac:dyDescent="0.25">
      <c r="B339" s="506"/>
      <c r="C339" s="66" t="s">
        <v>1027</v>
      </c>
      <c r="F339">
        <v>0.48</v>
      </c>
      <c r="G339">
        <v>3</v>
      </c>
      <c r="H339" s="96">
        <f>G339*F339</f>
        <v>1.44</v>
      </c>
    </row>
    <row r="340" spans="1:8" x14ac:dyDescent="0.25">
      <c r="B340" s="506"/>
      <c r="C340" s="66" t="s">
        <v>981</v>
      </c>
      <c r="F340">
        <f>1+2.83</f>
        <v>3.83</v>
      </c>
      <c r="H340" s="96">
        <f>F340</f>
        <v>3.83</v>
      </c>
    </row>
    <row r="341" spans="1:8" x14ac:dyDescent="0.25">
      <c r="B341" s="506"/>
      <c r="C341" s="66" t="s">
        <v>982</v>
      </c>
      <c r="F341">
        <f>1+2.49</f>
        <v>3.49</v>
      </c>
      <c r="H341" s="96">
        <f>F341</f>
        <v>3.49</v>
      </c>
    </row>
    <row r="342" spans="1:8" x14ac:dyDescent="0.25">
      <c r="B342" s="506"/>
      <c r="C342" s="66" t="s">
        <v>1036</v>
      </c>
      <c r="F342">
        <f>1.1+1.5+0.36</f>
        <v>2.96</v>
      </c>
      <c r="H342" s="96">
        <f>F342</f>
        <v>2.96</v>
      </c>
    </row>
    <row r="343" spans="1:8" x14ac:dyDescent="0.25">
      <c r="B343" s="247"/>
      <c r="C343" s="66"/>
      <c r="H343" s="96"/>
    </row>
    <row r="344" spans="1:8" ht="39.6" hidden="1" x14ac:dyDescent="0.25">
      <c r="A344" s="80" t="s">
        <v>651</v>
      </c>
      <c r="B344" s="81"/>
      <c r="C344" s="82" t="str">
        <f>VLOOKUP(A344,'Orçamento Sintético'!A:J,4,0)</f>
        <v>ARMAÇÃO DE PILAR OU VIGA DE ESTRUTURA CONVENCIONAL DE CONCRETO ARMADO UTILIZANDO AÇO CA-50 DE 8,0 MM - MONTAGEM. AF_06/2022</v>
      </c>
      <c r="D344" s="81"/>
      <c r="E344" s="81" t="str">
        <f>VLOOKUP(A344,'Orçamento Sintético'!A:J,5,0)</f>
        <v>KG</v>
      </c>
      <c r="F344" s="462" t="s">
        <v>966</v>
      </c>
      <c r="G344" s="462"/>
      <c r="H344" s="85">
        <f>SUM(H350:H353)</f>
        <v>0</v>
      </c>
    </row>
    <row r="345" spans="1:8" hidden="1" x14ac:dyDescent="0.25">
      <c r="A345" s="65"/>
      <c r="B345" s="65"/>
      <c r="C345" s="66"/>
      <c r="D345" s="67"/>
      <c r="E345" s="67"/>
      <c r="F345" s="463" t="s">
        <v>578</v>
      </c>
      <c r="G345" s="464"/>
      <c r="H345" s="68"/>
    </row>
    <row r="346" spans="1:8" hidden="1" x14ac:dyDescent="0.25">
      <c r="A346" s="65"/>
      <c r="B346" s="65"/>
      <c r="C346" s="66"/>
      <c r="D346" s="67"/>
      <c r="E346" s="67"/>
      <c r="F346" s="456" t="s">
        <v>579</v>
      </c>
      <c r="G346" s="456"/>
      <c r="H346" s="68">
        <f>VLOOKUP(A344,'Orçamento Sintético'!A:J,6,0)</f>
        <v>829.82</v>
      </c>
    </row>
    <row r="347" spans="1:8" hidden="1" x14ac:dyDescent="0.25">
      <c r="A347" s="65"/>
      <c r="B347" s="65"/>
      <c r="C347" s="66"/>
      <c r="D347" s="67"/>
      <c r="E347" s="67"/>
      <c r="F347" s="456" t="s">
        <v>596</v>
      </c>
      <c r="G347" s="456"/>
      <c r="H347" s="69">
        <f>SUM(H350:H353)</f>
        <v>0</v>
      </c>
    </row>
    <row r="348" spans="1:8" hidden="1" x14ac:dyDescent="0.25">
      <c r="A348" s="65"/>
      <c r="B348" s="65"/>
      <c r="C348" s="66"/>
      <c r="D348" s="67"/>
      <c r="E348" s="67"/>
      <c r="F348" s="457" t="s">
        <v>580</v>
      </c>
      <c r="G348" s="457"/>
      <c r="H348" s="69">
        <f>H346-H347</f>
        <v>829.82</v>
      </c>
    </row>
    <row r="349" spans="1:8" hidden="1" x14ac:dyDescent="0.25">
      <c r="A349" s="65"/>
      <c r="B349" s="65"/>
      <c r="C349" s="66"/>
      <c r="D349" s="241" t="s">
        <v>1008</v>
      </c>
      <c r="E349" s="241" t="s">
        <v>1009</v>
      </c>
      <c r="F349" s="241" t="s">
        <v>1010</v>
      </c>
      <c r="G349" s="241" t="s">
        <v>1011</v>
      </c>
      <c r="H349" s="75"/>
    </row>
    <row r="350" spans="1:8" ht="14.25" hidden="1" customHeight="1" x14ac:dyDescent="0.25">
      <c r="A350" s="65"/>
      <c r="B350" s="239"/>
      <c r="C350" s="66"/>
      <c r="D350" s="67"/>
      <c r="E350" s="67"/>
      <c r="F350" s="73"/>
      <c r="G350" s="98"/>
      <c r="H350" s="96">
        <f>G350*D350*E350</f>
        <v>0</v>
      </c>
    </row>
    <row r="351" spans="1:8" ht="14.25" hidden="1" customHeight="1" x14ac:dyDescent="0.25">
      <c r="B351" s="246"/>
      <c r="C351" s="66"/>
      <c r="D351" s="67"/>
      <c r="E351" s="67"/>
      <c r="F351" s="73"/>
      <c r="G351" s="98"/>
      <c r="H351" s="96"/>
    </row>
    <row r="352" spans="1:8" ht="14.25" hidden="1" customHeight="1" x14ac:dyDescent="0.25">
      <c r="B352" s="246"/>
      <c r="C352" s="66"/>
      <c r="D352" s="67"/>
      <c r="E352" s="67"/>
      <c r="F352" s="73"/>
      <c r="G352" s="98"/>
      <c r="H352" s="96"/>
    </row>
    <row r="353" spans="1:9" ht="14.25" hidden="1" customHeight="1" x14ac:dyDescent="0.25">
      <c r="B353" s="246"/>
      <c r="C353" s="66"/>
      <c r="D353" s="67"/>
      <c r="E353" s="67"/>
      <c r="F353" s="73"/>
      <c r="G353" s="98"/>
      <c r="H353" s="96"/>
    </row>
    <row r="354" spans="1:9" hidden="1" x14ac:dyDescent="0.25">
      <c r="B354" s="247"/>
      <c r="C354" s="66"/>
      <c r="H354" s="96"/>
    </row>
    <row r="355" spans="1:9" hidden="1" x14ac:dyDescent="0.25">
      <c r="B355" s="247"/>
      <c r="C355" s="66"/>
      <c r="H355" s="96"/>
    </row>
    <row r="356" spans="1:9" ht="39.6" x14ac:dyDescent="0.25">
      <c r="A356" s="80" t="s">
        <v>655</v>
      </c>
      <c r="B356" s="81"/>
      <c r="C356" s="82" t="str">
        <f>VLOOKUP(A356,'Orçamento Sintético'!A:J,4,0)</f>
        <v>MONTAGEM E DESMONTAGEM DE FÔRMA DE PILARES RETANGULARES E ESTRUTURAS SIMILARES, PÉ-DIREITO SIMPLES, EM CHAPA DE MADEIRA COMPENSADA PLASTIFICADA, 12 UTILIZAÇÕES. AF_09/2020</v>
      </c>
      <c r="D356" s="81"/>
      <c r="E356" s="81" t="str">
        <f>VLOOKUP(A356,'Orçamento Sintético'!A:J,5,0)</f>
        <v>m²</v>
      </c>
      <c r="F356" s="462" t="s">
        <v>966</v>
      </c>
      <c r="G356" s="462"/>
      <c r="H356" s="85">
        <f>H363</f>
        <v>67.38</v>
      </c>
      <c r="I356" s="216"/>
    </row>
    <row r="357" spans="1:9" x14ac:dyDescent="0.25">
      <c r="A357" s="65"/>
      <c r="B357" s="65"/>
      <c r="C357" s="66"/>
      <c r="D357" s="67"/>
      <c r="E357" s="67"/>
      <c r="F357" s="463" t="s">
        <v>578</v>
      </c>
      <c r="G357" s="464"/>
      <c r="H357" s="68"/>
    </row>
    <row r="358" spans="1:9" x14ac:dyDescent="0.25">
      <c r="A358" s="65"/>
      <c r="B358" s="65"/>
      <c r="C358" s="66"/>
      <c r="D358" s="67"/>
      <c r="E358" s="67"/>
      <c r="F358" s="509" t="s">
        <v>579</v>
      </c>
      <c r="G358" s="510"/>
      <c r="H358" s="68">
        <f>VLOOKUP(A356,'Orçamento Sintético'!A:J,6,0)</f>
        <v>319.27</v>
      </c>
    </row>
    <row r="359" spans="1:9" x14ac:dyDescent="0.25">
      <c r="A359" s="65"/>
      <c r="B359" s="65"/>
      <c r="C359" s="66"/>
      <c r="D359" s="67"/>
      <c r="E359" s="67"/>
      <c r="F359" s="456" t="s">
        <v>596</v>
      </c>
      <c r="G359" s="456"/>
      <c r="H359" s="69">
        <f>SUM(H362:H363)</f>
        <v>67.38</v>
      </c>
    </row>
    <row r="360" spans="1:9" x14ac:dyDescent="0.25">
      <c r="A360" s="65"/>
      <c r="B360" s="65"/>
      <c r="C360" s="66"/>
      <c r="D360" s="67"/>
      <c r="E360" s="67"/>
      <c r="F360" s="457" t="s">
        <v>580</v>
      </c>
      <c r="G360" s="457"/>
      <c r="H360" s="69">
        <f>H358-H359</f>
        <v>251.89</v>
      </c>
    </row>
    <row r="361" spans="1:9" x14ac:dyDescent="0.25">
      <c r="A361" s="65"/>
      <c r="B361" s="65"/>
      <c r="C361" s="66"/>
      <c r="D361" s="70" t="s">
        <v>971</v>
      </c>
      <c r="E361" s="70" t="s">
        <v>972</v>
      </c>
      <c r="F361" s="70" t="s">
        <v>976</v>
      </c>
      <c r="G361" s="71" t="s">
        <v>1037</v>
      </c>
      <c r="H361" s="75"/>
    </row>
    <row r="363" spans="1:9" ht="14.25" customHeight="1" x14ac:dyDescent="0.25">
      <c r="B363" s="245" t="s">
        <v>980</v>
      </c>
      <c r="C363" s="182" t="s">
        <v>1077</v>
      </c>
      <c r="G363" s="182">
        <v>67.38</v>
      </c>
      <c r="H363">
        <f>G363</f>
        <v>67.38</v>
      </c>
    </row>
    <row r="364" spans="1:9" ht="14.25" customHeight="1" x14ac:dyDescent="0.25">
      <c r="B364" s="246"/>
    </row>
    <row r="365" spans="1:9" ht="37.5" customHeight="1" x14ac:dyDescent="0.25">
      <c r="A365" s="80" t="s">
        <v>656</v>
      </c>
      <c r="B365" s="81"/>
      <c r="C365" s="82" t="str">
        <f>VLOOKUP(A365,'Orçamento Sintético'!A:J,4,0)</f>
        <v>ARMAÇÃO DE ESTRUTURAS DIVERSAS DE CONCRETO ARMADO, EXCETO VIGAS, PILARES, LAJES E FUNDAÇÕES, UTILIZANDO AÇO CA-50 DE 10,0 MM - MONTAGEM. AF_06/2022</v>
      </c>
      <c r="D365" s="81"/>
      <c r="E365" s="81" t="str">
        <f>VLOOKUP(A365,'Orçamento Sintético'!A:J,5,0)</f>
        <v>KG</v>
      </c>
      <c r="F365" s="462" t="s">
        <v>966</v>
      </c>
      <c r="G365" s="462"/>
      <c r="H365" s="85">
        <f>+H371+H372+H373+H374+H375+H376</f>
        <v>414.99419999999998</v>
      </c>
      <c r="I365" s="216"/>
    </row>
    <row r="366" spans="1:9" ht="14.25" customHeight="1" x14ac:dyDescent="0.25">
      <c r="A366" s="65"/>
      <c r="B366" s="65"/>
      <c r="C366" s="66"/>
      <c r="D366" s="67"/>
      <c r="E366" s="67"/>
      <c r="F366" s="463" t="s">
        <v>578</v>
      </c>
      <c r="G366" s="464"/>
      <c r="H366" s="68"/>
    </row>
    <row r="367" spans="1:9" x14ac:dyDescent="0.25">
      <c r="A367" s="65"/>
      <c r="B367" s="65"/>
      <c r="C367" s="66"/>
      <c r="D367" s="67"/>
      <c r="E367" s="67"/>
      <c r="F367" s="456" t="s">
        <v>579</v>
      </c>
      <c r="G367" s="456"/>
      <c r="H367" s="68">
        <f>VLOOKUP(A365,'Orçamento Sintético'!A:J,6,0)</f>
        <v>1063.9100000000001</v>
      </c>
    </row>
    <row r="368" spans="1:9" x14ac:dyDescent="0.25">
      <c r="A368" s="65"/>
      <c r="B368" s="65"/>
      <c r="C368" s="66"/>
      <c r="D368" s="67"/>
      <c r="E368" s="67"/>
      <c r="F368" s="456" t="s">
        <v>596</v>
      </c>
      <c r="G368" s="456"/>
      <c r="H368" s="69">
        <f>SUM(H371:H376)</f>
        <v>414.99419999999998</v>
      </c>
    </row>
    <row r="369" spans="1:18" x14ac:dyDescent="0.25">
      <c r="A369" s="65"/>
      <c r="B369" s="65"/>
      <c r="C369" s="66"/>
      <c r="D369" s="67"/>
      <c r="E369" s="67"/>
      <c r="F369" s="457" t="s">
        <v>580</v>
      </c>
      <c r="G369" s="457"/>
      <c r="H369" s="69">
        <f>H367-H368</f>
        <v>648.9158000000001</v>
      </c>
    </row>
    <row r="370" spans="1:18" x14ac:dyDescent="0.25">
      <c r="A370" s="65"/>
      <c r="B370" s="65"/>
      <c r="C370" s="66"/>
      <c r="D370" s="241" t="s">
        <v>1008</v>
      </c>
      <c r="E370" s="241" t="s">
        <v>1009</v>
      </c>
      <c r="F370" s="241" t="s">
        <v>1010</v>
      </c>
      <c r="G370" s="241" t="s">
        <v>1011</v>
      </c>
      <c r="H370" s="75"/>
    </row>
    <row r="371" spans="1:18" ht="15" customHeight="1" x14ac:dyDescent="0.25">
      <c r="B371" s="506" t="s">
        <v>980</v>
      </c>
      <c r="C371" s="182" t="s">
        <v>1038</v>
      </c>
      <c r="D371">
        <v>2.95</v>
      </c>
      <c r="E371">
        <v>6</v>
      </c>
      <c r="F371">
        <v>0.61699999999999999</v>
      </c>
      <c r="G371">
        <v>18</v>
      </c>
      <c r="H371" s="95">
        <f>G371*F371*E371*D371</f>
        <v>196.5762</v>
      </c>
    </row>
    <row r="372" spans="1:18" x14ac:dyDescent="0.25">
      <c r="B372" s="506"/>
      <c r="C372" s="182" t="s">
        <v>1039</v>
      </c>
      <c r="D372">
        <v>2.95</v>
      </c>
      <c r="E372">
        <v>4</v>
      </c>
      <c r="F372">
        <v>0.61699999999999999</v>
      </c>
      <c r="G372">
        <v>7</v>
      </c>
      <c r="H372" s="95">
        <f t="shared" ref="H372:H376" si="16">G372*F372*E372*D372</f>
        <v>50.964200000000005</v>
      </c>
    </row>
    <row r="373" spans="1:18" x14ac:dyDescent="0.25">
      <c r="B373" s="506"/>
      <c r="C373" s="182" t="s">
        <v>1040</v>
      </c>
      <c r="D373">
        <v>2.95</v>
      </c>
      <c r="E373">
        <v>6</v>
      </c>
      <c r="F373">
        <v>0.61699999999999999</v>
      </c>
      <c r="G373">
        <v>7</v>
      </c>
      <c r="H373" s="95">
        <f t="shared" si="16"/>
        <v>76.446300000000008</v>
      </c>
    </row>
    <row r="374" spans="1:18" x14ac:dyDescent="0.25">
      <c r="B374" s="506"/>
      <c r="C374" s="182" t="s">
        <v>1041</v>
      </c>
      <c r="D374">
        <v>2.95</v>
      </c>
      <c r="E374">
        <v>4</v>
      </c>
      <c r="F374">
        <v>0.61699999999999999</v>
      </c>
      <c r="G374">
        <v>3</v>
      </c>
      <c r="H374" s="95">
        <f t="shared" si="16"/>
        <v>21.841800000000003</v>
      </c>
    </row>
    <row r="375" spans="1:18" x14ac:dyDescent="0.25">
      <c r="B375" s="506"/>
      <c r="C375" s="182" t="s">
        <v>1042</v>
      </c>
      <c r="D375">
        <v>2.95</v>
      </c>
      <c r="E375">
        <v>6</v>
      </c>
      <c r="F375">
        <v>0.61699999999999999</v>
      </c>
      <c r="G375">
        <v>5</v>
      </c>
      <c r="H375" s="95">
        <f t="shared" si="16"/>
        <v>54.604499999999994</v>
      </c>
    </row>
    <row r="376" spans="1:18" x14ac:dyDescent="0.25">
      <c r="B376" s="506"/>
      <c r="C376" s="182" t="s">
        <v>1043</v>
      </c>
      <c r="D376">
        <v>2.95</v>
      </c>
      <c r="E376">
        <v>4</v>
      </c>
      <c r="F376">
        <v>0.61699999999999999</v>
      </c>
      <c r="G376">
        <v>2</v>
      </c>
      <c r="H376" s="95">
        <f t="shared" si="16"/>
        <v>14.561200000000001</v>
      </c>
    </row>
    <row r="377" spans="1:18" x14ac:dyDescent="0.25">
      <c r="H377" s="95"/>
      <c r="R377">
        <f>1872/2</f>
        <v>936</v>
      </c>
    </row>
    <row r="379" spans="1:18" ht="37.5" customHeight="1" x14ac:dyDescent="0.25">
      <c r="A379" s="80" t="s">
        <v>658</v>
      </c>
      <c r="B379" s="81"/>
      <c r="C379" s="82" t="str">
        <f>VLOOKUP(A379,'Orçamento Sintético'!A:J,4,0)</f>
        <v>ARMAÇÃO DE ESTRUTURAS DIVERSAS DE CONCRETO ARMADO, EXCETO VIGAS, PILARES, LAJES E FUNDAÇÕES, UTILIZANDO AÇO CA-60 DE 5,0 MM - MONTAGEM. AF_06/2022</v>
      </c>
      <c r="D379" s="81"/>
      <c r="E379" s="81" t="str">
        <f>VLOOKUP(A379,'Orçamento Sintético'!A:J,5,0)</f>
        <v>KG</v>
      </c>
      <c r="F379" s="462" t="s">
        <v>966</v>
      </c>
      <c r="G379" s="462"/>
      <c r="H379" s="360">
        <f>H386+H387+H388+H389+H391+H390</f>
        <v>97.789500000000018</v>
      </c>
      <c r="I379" s="216"/>
    </row>
    <row r="380" spans="1:18" x14ac:dyDescent="0.25">
      <c r="A380" s="65"/>
      <c r="B380" s="65"/>
      <c r="C380" s="66"/>
      <c r="D380" s="67"/>
      <c r="E380" s="67"/>
      <c r="F380" s="463" t="s">
        <v>578</v>
      </c>
      <c r="G380" s="464"/>
      <c r="H380" s="68"/>
    </row>
    <row r="381" spans="1:18" x14ac:dyDescent="0.25">
      <c r="A381" s="65"/>
      <c r="B381" s="65"/>
      <c r="C381" s="66"/>
      <c r="D381" s="67"/>
      <c r="E381" s="67"/>
      <c r="F381" s="456" t="s">
        <v>579</v>
      </c>
      <c r="G381" s="456"/>
      <c r="H381" s="68">
        <f>VLOOKUP(A379,'Orçamento Sintético'!A:J,6,0)</f>
        <v>404.73</v>
      </c>
    </row>
    <row r="382" spans="1:18" x14ac:dyDescent="0.25">
      <c r="A382" s="65"/>
      <c r="B382" s="65"/>
      <c r="C382" s="66"/>
      <c r="D382" s="67"/>
      <c r="E382" s="67"/>
      <c r="F382" s="456" t="s">
        <v>596</v>
      </c>
      <c r="G382" s="456"/>
      <c r="H382" s="69">
        <f>SUM(H385:H391)</f>
        <v>97.789500000000018</v>
      </c>
    </row>
    <row r="383" spans="1:18" x14ac:dyDescent="0.25">
      <c r="A383" s="65"/>
      <c r="B383" s="65"/>
      <c r="C383" s="66"/>
      <c r="D383" s="67"/>
      <c r="E383" s="67"/>
      <c r="F383" s="457" t="s">
        <v>580</v>
      </c>
      <c r="G383" s="457"/>
      <c r="H383" s="69">
        <f>H381-H382</f>
        <v>306.94049999999999</v>
      </c>
    </row>
    <row r="384" spans="1:18" x14ac:dyDescent="0.25">
      <c r="A384" s="65"/>
      <c r="B384" s="65"/>
      <c r="C384" s="66"/>
      <c r="D384" s="241" t="s">
        <v>1008</v>
      </c>
      <c r="E384" s="241" t="s">
        <v>1009</v>
      </c>
      <c r="F384" s="241" t="s">
        <v>1010</v>
      </c>
      <c r="G384" s="241" t="s">
        <v>1011</v>
      </c>
      <c r="H384" s="75"/>
    </row>
    <row r="385" spans="1:9" hidden="1" x14ac:dyDescent="0.25"/>
    <row r="386" spans="1:9" x14ac:dyDescent="0.25">
      <c r="B386" s="506" t="s">
        <v>980</v>
      </c>
      <c r="C386" s="182" t="s">
        <v>1044</v>
      </c>
      <c r="D386">
        <f>0.92+0.21</f>
        <v>1.1300000000000001</v>
      </c>
      <c r="E386">
        <v>15</v>
      </c>
      <c r="F386">
        <v>0.155</v>
      </c>
      <c r="G386">
        <v>18</v>
      </c>
      <c r="H386" s="95">
        <f>G386*F386*E386*D386</f>
        <v>47.290500000000009</v>
      </c>
    </row>
    <row r="387" spans="1:9" x14ac:dyDescent="0.25">
      <c r="B387" s="506"/>
      <c r="C387" s="182" t="s">
        <v>1045</v>
      </c>
      <c r="D387">
        <v>0.68</v>
      </c>
      <c r="E387">
        <v>15</v>
      </c>
      <c r="F387">
        <v>0.155</v>
      </c>
      <c r="G387">
        <v>7</v>
      </c>
      <c r="H387" s="95">
        <f t="shared" ref="H387:H391" si="17">G387*F387*E387*D387</f>
        <v>11.067</v>
      </c>
    </row>
    <row r="388" spans="1:9" x14ac:dyDescent="0.25">
      <c r="B388" s="506"/>
      <c r="C388" s="182" t="s">
        <v>1046</v>
      </c>
      <c r="D388">
        <f>0.92+0.21</f>
        <v>1.1300000000000001</v>
      </c>
      <c r="E388">
        <v>15</v>
      </c>
      <c r="F388">
        <v>0.155</v>
      </c>
      <c r="G388">
        <v>7</v>
      </c>
      <c r="H388" s="95">
        <f t="shared" si="17"/>
        <v>18.390750000000001</v>
      </c>
    </row>
    <row r="389" spans="1:9" x14ac:dyDescent="0.25">
      <c r="B389" s="506"/>
      <c r="C389" s="182" t="s">
        <v>1047</v>
      </c>
      <c r="D389">
        <v>0.68</v>
      </c>
      <c r="E389">
        <v>15</v>
      </c>
      <c r="F389">
        <v>0.155</v>
      </c>
      <c r="G389">
        <v>3</v>
      </c>
      <c r="H389" s="95">
        <f t="shared" si="17"/>
        <v>4.7430000000000003</v>
      </c>
    </row>
    <row r="390" spans="1:9" x14ac:dyDescent="0.25">
      <c r="B390" s="506"/>
      <c r="C390" s="182" t="s">
        <v>1048</v>
      </c>
      <c r="D390">
        <f>0.92+0.21</f>
        <v>1.1300000000000001</v>
      </c>
      <c r="E390">
        <v>15</v>
      </c>
      <c r="F390">
        <v>0.155</v>
      </c>
      <c r="G390">
        <v>5</v>
      </c>
      <c r="H390" s="95">
        <f t="shared" si="17"/>
        <v>13.136250000000002</v>
      </c>
    </row>
    <row r="391" spans="1:9" x14ac:dyDescent="0.25">
      <c r="B391" s="506"/>
      <c r="C391" s="182" t="s">
        <v>1049</v>
      </c>
      <c r="D391">
        <v>0.68</v>
      </c>
      <c r="E391">
        <v>15</v>
      </c>
      <c r="F391">
        <v>0.155</v>
      </c>
      <c r="G391">
        <v>2</v>
      </c>
      <c r="H391" s="95">
        <f t="shared" si="17"/>
        <v>3.1620000000000004</v>
      </c>
    </row>
    <row r="393" spans="1:9" ht="37.5" customHeight="1" x14ac:dyDescent="0.25">
      <c r="A393" s="80" t="s">
        <v>659</v>
      </c>
      <c r="B393" s="81"/>
      <c r="C393" s="82" t="str">
        <f>VLOOKUP(A393,'Orçamento Sintético'!A:J,4,0)</f>
        <v>CONCRETAGEM DE PILARES, FCK = 25 MPA, COM USO DE BOMBA - LANÇAMENTO, ADENSAMENTO E ACABAMENTO. AF_02/2022_PS</v>
      </c>
      <c r="D393" s="81"/>
      <c r="E393" s="81" t="str">
        <f>VLOOKUP(A393,'Orçamento Sintético'!A:J,5,0)</f>
        <v>m³</v>
      </c>
      <c r="F393" s="462" t="s">
        <v>966</v>
      </c>
      <c r="G393" s="462"/>
      <c r="H393" s="85">
        <f>H400+H401+H402+H403+H404+H405</f>
        <v>4.9920000000000009</v>
      </c>
      <c r="I393" s="216"/>
    </row>
    <row r="394" spans="1:9" x14ac:dyDescent="0.25">
      <c r="A394" s="65"/>
      <c r="B394" s="65"/>
      <c r="C394" s="66"/>
      <c r="D394" s="67"/>
      <c r="E394" s="67"/>
      <c r="F394" s="463" t="s">
        <v>578</v>
      </c>
      <c r="G394" s="464"/>
      <c r="H394" s="68"/>
    </row>
    <row r="395" spans="1:9" x14ac:dyDescent="0.25">
      <c r="A395" s="65"/>
      <c r="B395" s="65"/>
      <c r="C395" s="66"/>
      <c r="D395" s="67"/>
      <c r="E395" s="67"/>
      <c r="F395" s="456" t="s">
        <v>579</v>
      </c>
      <c r="G395" s="456"/>
      <c r="H395" s="68">
        <f>VLOOKUP(A393,'Orçamento Sintético'!A:J,6,0)</f>
        <v>16.149999999999999</v>
      </c>
    </row>
    <row r="396" spans="1:9" x14ac:dyDescent="0.25">
      <c r="A396" s="65"/>
      <c r="B396" s="65"/>
      <c r="C396" s="66"/>
      <c r="D396" s="67"/>
      <c r="E396" s="67"/>
      <c r="F396" s="456" t="s">
        <v>596</v>
      </c>
      <c r="G396" s="456"/>
      <c r="H396" s="69">
        <f>SUM(H399:H405)</f>
        <v>4.9920000000000009</v>
      </c>
    </row>
    <row r="397" spans="1:9" x14ac:dyDescent="0.25">
      <c r="A397" s="65"/>
      <c r="B397" s="65"/>
      <c r="C397" s="66"/>
      <c r="D397" s="67"/>
      <c r="E397" s="67"/>
      <c r="F397" s="457" t="s">
        <v>580</v>
      </c>
      <c r="G397" s="457"/>
      <c r="H397" s="69">
        <f>H395-H396</f>
        <v>11.157999999999998</v>
      </c>
    </row>
    <row r="398" spans="1:9" x14ac:dyDescent="0.25">
      <c r="A398" s="65"/>
      <c r="B398" s="65"/>
      <c r="C398" s="66"/>
      <c r="D398" s="70" t="s">
        <v>971</v>
      </c>
      <c r="E398" s="70" t="s">
        <v>972</v>
      </c>
      <c r="F398" s="70" t="s">
        <v>977</v>
      </c>
      <c r="G398" s="71" t="s">
        <v>584</v>
      </c>
      <c r="H398" s="75"/>
    </row>
    <row r="400" spans="1:9" x14ac:dyDescent="0.25">
      <c r="B400" s="506" t="s">
        <v>980</v>
      </c>
      <c r="C400" s="182" t="s">
        <v>1038</v>
      </c>
      <c r="D400">
        <v>0.4</v>
      </c>
      <c r="E400">
        <v>2.6</v>
      </c>
      <c r="F400">
        <v>0.12</v>
      </c>
      <c r="G400">
        <v>18</v>
      </c>
      <c r="H400">
        <f>F400*G400*D400*E400</f>
        <v>2.2464000000000004</v>
      </c>
    </row>
    <row r="401" spans="1:9" x14ac:dyDescent="0.25">
      <c r="B401" s="506"/>
      <c r="C401" s="182" t="s">
        <v>1039</v>
      </c>
      <c r="D401">
        <v>0.2</v>
      </c>
      <c r="E401">
        <v>2.6</v>
      </c>
      <c r="F401" s="95">
        <v>0.2</v>
      </c>
      <c r="G401">
        <v>7</v>
      </c>
      <c r="H401">
        <f>F401*G401*E401*D401</f>
        <v>0.7280000000000002</v>
      </c>
    </row>
    <row r="402" spans="1:9" x14ac:dyDescent="0.25">
      <c r="B402" s="506"/>
      <c r="C402" s="182" t="s">
        <v>1040</v>
      </c>
      <c r="D402">
        <v>0.4</v>
      </c>
      <c r="E402">
        <v>2.6</v>
      </c>
      <c r="F402">
        <v>0.12</v>
      </c>
      <c r="G402">
        <v>7</v>
      </c>
      <c r="H402">
        <f>F402*G402*E402*D402</f>
        <v>0.87360000000000015</v>
      </c>
    </row>
    <row r="403" spans="1:9" x14ac:dyDescent="0.25">
      <c r="B403" s="506"/>
      <c r="C403" s="182" t="s">
        <v>1041</v>
      </c>
      <c r="D403">
        <v>0.2</v>
      </c>
      <c r="E403">
        <v>2.6</v>
      </c>
      <c r="F403" s="95">
        <v>0.2</v>
      </c>
      <c r="G403">
        <v>3</v>
      </c>
      <c r="H403">
        <f t="shared" ref="H403:H405" si="18">F403*G403*E403*D403</f>
        <v>0.31200000000000006</v>
      </c>
    </row>
    <row r="404" spans="1:9" x14ac:dyDescent="0.25">
      <c r="B404" s="506"/>
      <c r="C404" s="182" t="s">
        <v>1042</v>
      </c>
      <c r="D404">
        <v>0.4</v>
      </c>
      <c r="E404">
        <v>2.6</v>
      </c>
      <c r="F404">
        <v>0.12</v>
      </c>
      <c r="G404">
        <v>5</v>
      </c>
      <c r="H404">
        <f t="shared" si="18"/>
        <v>0.62400000000000011</v>
      </c>
    </row>
    <row r="405" spans="1:9" x14ac:dyDescent="0.25">
      <c r="B405" s="506"/>
      <c r="C405" s="182" t="s">
        <v>1043</v>
      </c>
      <c r="D405">
        <v>0.2</v>
      </c>
      <c r="E405">
        <v>2.6</v>
      </c>
      <c r="F405" s="95">
        <v>0.2</v>
      </c>
      <c r="G405">
        <v>2</v>
      </c>
      <c r="H405">
        <f t="shared" si="18"/>
        <v>0.20800000000000002</v>
      </c>
    </row>
    <row r="407" spans="1:9" ht="37.5" customHeight="1" x14ac:dyDescent="0.25">
      <c r="A407" s="80" t="s">
        <v>661</v>
      </c>
      <c r="B407" s="81"/>
      <c r="C407" s="82" t="str">
        <f>VLOOKUP(A407,'Orçamento Sintético'!A:J,4,0)</f>
        <v>VERGA PRÉ-MOLDADA PARA JANELAS COM MAIS DE 1,5 M DE VÃO. AF_03/2016</v>
      </c>
      <c r="D407" s="81"/>
      <c r="E407" s="81" t="str">
        <f>VLOOKUP(A407,'Orçamento Sintético'!A:J,5,0)</f>
        <v>M</v>
      </c>
      <c r="F407" s="462" t="s">
        <v>966</v>
      </c>
      <c r="G407" s="462"/>
      <c r="H407" s="85">
        <f>H414+H415+H416</f>
        <v>116.20000000000002</v>
      </c>
      <c r="I407" s="216"/>
    </row>
    <row r="408" spans="1:9" x14ac:dyDescent="0.25">
      <c r="A408" s="65"/>
      <c r="B408" s="65"/>
      <c r="C408" s="66"/>
      <c r="D408" s="67"/>
      <c r="E408" s="67"/>
      <c r="F408" s="463" t="s">
        <v>578</v>
      </c>
      <c r="G408" s="464"/>
      <c r="H408" s="68"/>
    </row>
    <row r="409" spans="1:9" x14ac:dyDescent="0.25">
      <c r="A409" s="65"/>
      <c r="B409" s="65"/>
      <c r="C409" s="66"/>
      <c r="D409" s="67"/>
      <c r="E409" s="67"/>
      <c r="F409" s="456" t="s">
        <v>579</v>
      </c>
      <c r="G409" s="456"/>
      <c r="H409" s="68">
        <f>VLOOKUP(A407,'Orçamento Sintético'!A:J,6,0)</f>
        <v>232</v>
      </c>
    </row>
    <row r="410" spans="1:9" x14ac:dyDescent="0.25">
      <c r="A410" s="65"/>
      <c r="B410" s="65"/>
      <c r="C410" s="66"/>
      <c r="D410" s="67"/>
      <c r="E410" s="67"/>
      <c r="F410" s="456" t="s">
        <v>596</v>
      </c>
      <c r="G410" s="456"/>
      <c r="H410" s="69">
        <f>SUM(H413:H416)</f>
        <v>116.20000000000002</v>
      </c>
    </row>
    <row r="411" spans="1:9" x14ac:dyDescent="0.25">
      <c r="A411" s="65"/>
      <c r="B411" s="65"/>
      <c r="C411" s="66"/>
      <c r="D411" s="67"/>
      <c r="E411" s="67"/>
      <c r="F411" s="457" t="s">
        <v>580</v>
      </c>
      <c r="G411" s="457"/>
      <c r="H411" s="69">
        <f>H409-H410</f>
        <v>115.79999999999998</v>
      </c>
    </row>
    <row r="412" spans="1:9" x14ac:dyDescent="0.25">
      <c r="A412" s="65"/>
      <c r="B412" s="65"/>
      <c r="C412" s="66"/>
      <c r="D412" s="70" t="s">
        <v>971</v>
      </c>
      <c r="E412" s="70" t="s">
        <v>978</v>
      </c>
      <c r="F412" s="70" t="s">
        <v>977</v>
      </c>
      <c r="G412" s="71" t="s">
        <v>584</v>
      </c>
      <c r="H412" s="75"/>
    </row>
    <row r="414" spans="1:9" ht="15" customHeight="1" x14ac:dyDescent="0.25">
      <c r="B414" s="506" t="s">
        <v>980</v>
      </c>
      <c r="C414" s="182" t="s">
        <v>1050</v>
      </c>
      <c r="D414">
        <v>2.2000000000000002</v>
      </c>
      <c r="E414">
        <v>0.6</v>
      </c>
      <c r="G414" s="182">
        <f>12+12</f>
        <v>24</v>
      </c>
      <c r="H414">
        <f>(D414+E414)*G414</f>
        <v>67.2</v>
      </c>
    </row>
    <row r="415" spans="1:9" x14ac:dyDescent="0.25">
      <c r="B415" s="506"/>
      <c r="C415" s="182" t="s">
        <v>1051</v>
      </c>
      <c r="D415">
        <v>0.8</v>
      </c>
      <c r="E415">
        <v>0.6</v>
      </c>
      <c r="G415">
        <f>3</f>
        <v>3</v>
      </c>
      <c r="H415">
        <f>(D415+E415)*G415</f>
        <v>4.1999999999999993</v>
      </c>
    </row>
    <row r="416" spans="1:9" ht="27.6" x14ac:dyDescent="0.25">
      <c r="B416" s="506"/>
      <c r="C416" s="236" t="s">
        <v>1052</v>
      </c>
      <c r="D416">
        <v>2.2000000000000002</v>
      </c>
      <c r="E416">
        <v>0.6</v>
      </c>
      <c r="G416">
        <f>8*2</f>
        <v>16</v>
      </c>
      <c r="H416">
        <f>(D416+E416)*G416</f>
        <v>44.800000000000004</v>
      </c>
    </row>
    <row r="417" spans="1:8" x14ac:dyDescent="0.25">
      <c r="C417" s="182"/>
    </row>
    <row r="418" spans="1:8" ht="37.5" customHeight="1" x14ac:dyDescent="0.25">
      <c r="A418" s="80" t="s">
        <v>662</v>
      </c>
      <c r="B418" s="81"/>
      <c r="C418" s="82" t="str">
        <f>VLOOKUP(A418,'Orçamento Sintético'!A:J,4,0)</f>
        <v>ALVENARIA DE VEDAÇÃO DE BLOCOS CERÂMICOS FURADOS NA VERTICAL DE 9X19X39 CM (ESPESSURA 9 CM) E ARGAMASSA DE ASSENTAMENTO COM PREPARO EM BETONEIRA. AF_12/2021</v>
      </c>
      <c r="D418" s="81"/>
      <c r="E418" s="81" t="str">
        <f>VLOOKUP(A418,'Orçamento Sintético'!A:J,5,0)</f>
        <v>m²</v>
      </c>
      <c r="F418" s="462" t="s">
        <v>966</v>
      </c>
      <c r="G418" s="462"/>
      <c r="H418" s="85">
        <f>SUM(H428:H430)</f>
        <v>99.512</v>
      </c>
    </row>
    <row r="419" spans="1:8" x14ac:dyDescent="0.25">
      <c r="A419" s="65"/>
      <c r="B419" s="65"/>
      <c r="C419" s="66"/>
      <c r="D419" s="67"/>
      <c r="E419" s="67"/>
      <c r="F419" s="463" t="s">
        <v>578</v>
      </c>
      <c r="G419" s="464"/>
      <c r="H419" s="68"/>
    </row>
    <row r="420" spans="1:8" x14ac:dyDescent="0.25">
      <c r="A420" s="65"/>
      <c r="B420" s="65"/>
      <c r="C420" s="66"/>
      <c r="D420" s="67"/>
      <c r="E420" s="67"/>
      <c r="F420" s="456" t="s">
        <v>579</v>
      </c>
      <c r="G420" s="456"/>
      <c r="H420" s="68">
        <f>VLOOKUP(A418,'Orçamento Sintético'!A:J,6,0)</f>
        <v>914.03</v>
      </c>
    </row>
    <row r="421" spans="1:8" x14ac:dyDescent="0.25">
      <c r="A421" s="65"/>
      <c r="B421" s="65"/>
      <c r="C421" s="66"/>
      <c r="D421" s="67"/>
      <c r="E421" s="67"/>
      <c r="F421" s="456" t="s">
        <v>596</v>
      </c>
      <c r="G421" s="456"/>
      <c r="H421" s="69">
        <f>SUM(H424:H431)</f>
        <v>165.05599999999998</v>
      </c>
    </row>
    <row r="422" spans="1:8" x14ac:dyDescent="0.25">
      <c r="A422" s="65"/>
      <c r="B422" s="65"/>
      <c r="C422" s="66"/>
      <c r="D422" s="67"/>
      <c r="E422" s="67"/>
      <c r="F422" s="457" t="s">
        <v>580</v>
      </c>
      <c r="G422" s="457"/>
      <c r="H422" s="69">
        <f>H420-H421</f>
        <v>748.97399999999993</v>
      </c>
    </row>
    <row r="423" spans="1:8" x14ac:dyDescent="0.25">
      <c r="A423" s="65"/>
      <c r="B423" s="65"/>
      <c r="C423" s="66"/>
      <c r="D423" s="70" t="s">
        <v>971</v>
      </c>
      <c r="E423" s="70" t="s">
        <v>972</v>
      </c>
      <c r="F423" s="70" t="s">
        <v>976</v>
      </c>
      <c r="G423" s="71" t="s">
        <v>584</v>
      </c>
      <c r="H423" s="75"/>
    </row>
    <row r="424" spans="1:8" hidden="1" x14ac:dyDescent="0.25">
      <c r="A424" s="65"/>
      <c r="B424" s="72" t="s">
        <v>612</v>
      </c>
      <c r="C424" s="66" t="s">
        <v>876</v>
      </c>
      <c r="D424" s="67"/>
      <c r="E424" s="67">
        <v>1.2</v>
      </c>
      <c r="F424" s="73">
        <v>2.5299999999999998</v>
      </c>
      <c r="G424" s="98">
        <v>8</v>
      </c>
      <c r="H424" s="96">
        <f>G424*F424*E424</f>
        <v>24.287999999999997</v>
      </c>
    </row>
    <row r="425" spans="1:8" hidden="1" x14ac:dyDescent="0.25">
      <c r="A425" s="65"/>
      <c r="B425" s="72"/>
      <c r="C425" s="66"/>
      <c r="D425" s="67"/>
      <c r="E425" s="67">
        <v>1.2</v>
      </c>
      <c r="F425" s="73">
        <v>3.82</v>
      </c>
      <c r="G425" s="98">
        <v>6</v>
      </c>
      <c r="H425" s="96">
        <f t="shared" ref="H425:H426" si="19">G425*F425*E425</f>
        <v>27.503999999999998</v>
      </c>
    </row>
    <row r="426" spans="1:8" hidden="1" x14ac:dyDescent="0.25">
      <c r="A426" s="65"/>
      <c r="B426" s="72"/>
      <c r="C426" s="66"/>
      <c r="D426" s="67"/>
      <c r="E426" s="67">
        <v>0.6</v>
      </c>
      <c r="F426" s="73">
        <v>3.82</v>
      </c>
      <c r="G426" s="98">
        <v>6</v>
      </c>
      <c r="H426" s="96">
        <f t="shared" si="19"/>
        <v>13.751999999999999</v>
      </c>
    </row>
    <row r="427" spans="1:8" hidden="1" x14ac:dyDescent="0.25">
      <c r="A427" s="65"/>
      <c r="B427" s="72"/>
      <c r="C427" s="66"/>
      <c r="D427" s="67"/>
      <c r="E427" s="67"/>
      <c r="F427" s="73"/>
      <c r="G427" s="98"/>
      <c r="H427" s="96"/>
    </row>
    <row r="428" spans="1:8" x14ac:dyDescent="0.25">
      <c r="A428" s="65"/>
      <c r="B428" s="506" t="s">
        <v>980</v>
      </c>
      <c r="C428" s="66" t="s">
        <v>1053</v>
      </c>
      <c r="D428" s="67">
        <v>2.5299999999999998</v>
      </c>
      <c r="E428" s="67">
        <f>2.6-1.2</f>
        <v>1.4000000000000001</v>
      </c>
      <c r="F428" s="73"/>
      <c r="G428" s="98">
        <v>8</v>
      </c>
      <c r="H428" s="96">
        <f>E428*D428*G428</f>
        <v>28.336000000000002</v>
      </c>
    </row>
    <row r="429" spans="1:8" x14ac:dyDescent="0.25">
      <c r="A429" s="65"/>
      <c r="B429" s="506"/>
      <c r="C429" s="66" t="s">
        <v>1054</v>
      </c>
      <c r="D429" s="67">
        <v>3.82</v>
      </c>
      <c r="E429" s="67">
        <v>1.4</v>
      </c>
      <c r="F429" s="73"/>
      <c r="G429" s="98">
        <v>8</v>
      </c>
      <c r="H429" s="96">
        <f>E429*D429*G429</f>
        <v>42.783999999999999</v>
      </c>
    </row>
    <row r="430" spans="1:8" ht="26.4" x14ac:dyDescent="0.25">
      <c r="A430" s="65"/>
      <c r="B430" s="506"/>
      <c r="C430" s="66" t="s">
        <v>1055</v>
      </c>
      <c r="D430" s="67">
        <f>2.535*2</f>
        <v>5.07</v>
      </c>
      <c r="E430" s="67">
        <v>1.4</v>
      </c>
      <c r="F430" s="73"/>
      <c r="G430" s="98">
        <v>4</v>
      </c>
      <c r="H430" s="96">
        <f>E430*D430*G430</f>
        <v>28.391999999999999</v>
      </c>
    </row>
    <row r="431" spans="1:8" x14ac:dyDescent="0.25">
      <c r="A431" s="65"/>
      <c r="B431" s="72"/>
      <c r="C431" s="66"/>
      <c r="D431" s="67"/>
      <c r="E431" s="67"/>
      <c r="F431" s="73"/>
      <c r="G431" s="98"/>
      <c r="H431" s="96"/>
    </row>
    <row r="432" spans="1:8" ht="37.5" customHeight="1" x14ac:dyDescent="0.25">
      <c r="A432" s="80" t="s">
        <v>697</v>
      </c>
      <c r="B432" s="81"/>
      <c r="C432" s="82" t="str">
        <f>VLOOKUP(A432,'Orçamento Sintético'!A:J,4,0)</f>
        <v>TINTA DE BASE ASFÁLTICA 2 DEMÃOS C/BROXA</v>
      </c>
      <c r="D432" s="81"/>
      <c r="E432" s="81" t="str">
        <f>VLOOKUP(A432,'Orçamento Sintético'!A:J,5,0)</f>
        <v>m²</v>
      </c>
      <c r="F432" s="462" t="s">
        <v>966</v>
      </c>
      <c r="G432" s="462"/>
      <c r="H432" s="362">
        <f>SUM(H442:H449)</f>
        <v>230.32199999999995</v>
      </c>
    </row>
    <row r="433" spans="1:13" x14ac:dyDescent="0.25">
      <c r="A433" s="65"/>
      <c r="B433" s="65"/>
      <c r="C433" s="66"/>
      <c r="D433" s="67"/>
      <c r="E433" s="67"/>
      <c r="F433" s="463" t="s">
        <v>578</v>
      </c>
      <c r="G433" s="464"/>
      <c r="H433" s="68"/>
    </row>
    <row r="434" spans="1:13" x14ac:dyDescent="0.25">
      <c r="A434" s="65"/>
      <c r="B434" s="65"/>
      <c r="C434" s="66"/>
      <c r="D434" s="67"/>
      <c r="E434" s="67"/>
      <c r="F434" s="456" t="s">
        <v>579</v>
      </c>
      <c r="G434" s="456"/>
      <c r="H434" s="68">
        <f>VLOOKUP(A432,'Orçamento Sintético'!A:J,6,0)</f>
        <v>463.48</v>
      </c>
    </row>
    <row r="435" spans="1:13" x14ac:dyDescent="0.25">
      <c r="A435" s="65"/>
      <c r="B435" s="65"/>
      <c r="C435" s="66"/>
      <c r="D435" s="67"/>
      <c r="E435" s="67"/>
      <c r="F435" s="456" t="s">
        <v>596</v>
      </c>
      <c r="G435" s="456"/>
      <c r="H435" s="69">
        <f>SUM(H438:H449)</f>
        <v>463.48039999999992</v>
      </c>
    </row>
    <row r="436" spans="1:13" x14ac:dyDescent="0.25">
      <c r="A436" s="65"/>
      <c r="B436" s="65"/>
      <c r="C436" s="66"/>
      <c r="D436" s="67"/>
      <c r="E436" s="67"/>
      <c r="F436" s="457" t="s">
        <v>580</v>
      </c>
      <c r="G436" s="457"/>
      <c r="H436" s="69">
        <f>H434-H435</f>
        <v>-3.9999999989959178E-4</v>
      </c>
    </row>
    <row r="437" spans="1:13" x14ac:dyDescent="0.25">
      <c r="A437" s="65"/>
      <c r="B437" s="65"/>
      <c r="C437" s="66"/>
      <c r="D437" s="70" t="s">
        <v>971</v>
      </c>
      <c r="E437" s="70" t="s">
        <v>972</v>
      </c>
      <c r="F437" s="70" t="s">
        <v>976</v>
      </c>
      <c r="G437" s="71" t="s">
        <v>584</v>
      </c>
      <c r="H437" s="75"/>
    </row>
    <row r="438" spans="1:13" hidden="1" x14ac:dyDescent="0.25">
      <c r="A438" s="65"/>
      <c r="B438" s="72" t="s">
        <v>612</v>
      </c>
      <c r="C438" s="66" t="s">
        <v>950</v>
      </c>
      <c r="D438" s="67"/>
      <c r="E438" s="67"/>
      <c r="F438" s="73"/>
      <c r="G438" s="98">
        <v>230.56</v>
      </c>
      <c r="H438" s="96">
        <f>G438</f>
        <v>230.56</v>
      </c>
    </row>
    <row r="439" spans="1:13" hidden="1" x14ac:dyDescent="0.25">
      <c r="C439" s="182" t="s">
        <v>955</v>
      </c>
      <c r="D439">
        <v>0.12</v>
      </c>
      <c r="E439">
        <f>(1.1+0.9+0.8)/3</f>
        <v>0.93333333333333324</v>
      </c>
      <c r="F439">
        <v>0.4</v>
      </c>
      <c r="G439">
        <v>58</v>
      </c>
      <c r="H439">
        <f>D439*E439*F439*G439</f>
        <v>2.5983999999999998</v>
      </c>
    </row>
    <row r="440" spans="1:13" hidden="1" x14ac:dyDescent="0.25">
      <c r="I440" s="86"/>
      <c r="J440" s="86"/>
      <c r="K440" s="86"/>
      <c r="L440" s="86"/>
      <c r="M440" s="86"/>
    </row>
    <row r="441" spans="1:13" hidden="1" x14ac:dyDescent="0.25">
      <c r="I441" s="86"/>
      <c r="J441" s="86"/>
      <c r="K441" s="86"/>
      <c r="L441" s="86"/>
      <c r="M441" s="86"/>
    </row>
    <row r="442" spans="1:13" ht="14.25" customHeight="1" x14ac:dyDescent="0.25">
      <c r="B442" s="506" t="s">
        <v>980</v>
      </c>
      <c r="C442" s="182" t="s">
        <v>1056</v>
      </c>
      <c r="D442">
        <f>62.73+0.15</f>
        <v>62.879999999999995</v>
      </c>
      <c r="E442">
        <v>0.3</v>
      </c>
      <c r="G442">
        <v>2</v>
      </c>
      <c r="H442">
        <f>D442*E442*G442*2</f>
        <v>75.455999999999989</v>
      </c>
      <c r="I442" s="86"/>
      <c r="J442" s="86"/>
      <c r="K442" s="86"/>
      <c r="L442" s="86"/>
      <c r="M442" s="86"/>
    </row>
    <row r="443" spans="1:13" ht="14.25" customHeight="1" x14ac:dyDescent="0.25">
      <c r="B443" s="506"/>
      <c r="C443" s="182" t="s">
        <v>1057</v>
      </c>
      <c r="D443">
        <v>0.35</v>
      </c>
      <c r="E443">
        <v>0.9</v>
      </c>
      <c r="G443">
        <v>18</v>
      </c>
      <c r="H443">
        <f t="shared" ref="H443:H449" si="20">D443*E443*G443*2</f>
        <v>11.34</v>
      </c>
      <c r="I443" s="86"/>
      <c r="J443" s="86"/>
      <c r="K443" s="86"/>
      <c r="L443" s="86"/>
      <c r="M443" s="86"/>
    </row>
    <row r="444" spans="1:13" ht="14.25" customHeight="1" x14ac:dyDescent="0.25">
      <c r="B444" s="506"/>
      <c r="C444" s="182" t="s">
        <v>1058</v>
      </c>
      <c r="D444">
        <v>87.47</v>
      </c>
      <c r="E444">
        <v>0.3</v>
      </c>
      <c r="G444">
        <v>1</v>
      </c>
      <c r="H444">
        <f t="shared" si="20"/>
        <v>52.481999999999999</v>
      </c>
      <c r="I444" s="86"/>
      <c r="J444" s="86"/>
      <c r="K444" s="86"/>
      <c r="L444" s="86"/>
      <c r="M444" s="86"/>
    </row>
    <row r="445" spans="1:13" x14ac:dyDescent="0.25">
      <c r="B445" s="506"/>
      <c r="C445" s="182" t="s">
        <v>1059</v>
      </c>
      <c r="D445">
        <v>0.35</v>
      </c>
      <c r="E445">
        <v>0.83</v>
      </c>
      <c r="G445">
        <v>14</v>
      </c>
      <c r="H445">
        <f t="shared" si="20"/>
        <v>8.1340000000000003</v>
      </c>
      <c r="I445" s="86"/>
      <c r="J445" s="86"/>
      <c r="K445" s="86"/>
      <c r="L445" s="86"/>
      <c r="M445" s="86"/>
    </row>
    <row r="446" spans="1:13" x14ac:dyDescent="0.25">
      <c r="B446" s="506"/>
      <c r="C446" s="182" t="s">
        <v>1060</v>
      </c>
      <c r="D446">
        <v>87.85</v>
      </c>
      <c r="E446">
        <v>0.3</v>
      </c>
      <c r="G446">
        <v>1</v>
      </c>
      <c r="H446">
        <f t="shared" si="20"/>
        <v>52.709999999999994</v>
      </c>
      <c r="I446" s="86"/>
      <c r="J446" s="86"/>
      <c r="K446" s="86"/>
      <c r="L446" s="86"/>
      <c r="M446" s="86"/>
    </row>
    <row r="447" spans="1:13" x14ac:dyDescent="0.25">
      <c r="B447" s="506"/>
      <c r="C447" s="182" t="s">
        <v>1061</v>
      </c>
      <c r="D447">
        <v>0.35</v>
      </c>
      <c r="E447">
        <v>0.83</v>
      </c>
      <c r="G447">
        <v>16</v>
      </c>
      <c r="H447">
        <f t="shared" si="20"/>
        <v>9.2959999999999994</v>
      </c>
      <c r="I447" s="86"/>
      <c r="J447" s="86"/>
      <c r="K447" s="86"/>
      <c r="L447" s="86"/>
      <c r="M447" s="86"/>
    </row>
    <row r="448" spans="1:13" x14ac:dyDescent="0.25">
      <c r="B448" s="506"/>
      <c r="C448" s="182" t="s">
        <v>1062</v>
      </c>
      <c r="D448">
        <v>7.74</v>
      </c>
      <c r="E448">
        <v>0.3</v>
      </c>
      <c r="G448">
        <v>3</v>
      </c>
      <c r="H448">
        <f t="shared" si="20"/>
        <v>13.932</v>
      </c>
      <c r="I448" s="86"/>
      <c r="J448" s="86"/>
      <c r="K448" s="86"/>
      <c r="L448" s="86"/>
      <c r="M448" s="86"/>
    </row>
    <row r="449" spans="1:13" x14ac:dyDescent="0.25">
      <c r="B449" s="506"/>
      <c r="C449" s="182" t="s">
        <v>1063</v>
      </c>
      <c r="D449">
        <v>0.35</v>
      </c>
      <c r="E449">
        <v>0.83</v>
      </c>
      <c r="G449">
        <v>12</v>
      </c>
      <c r="H449">
        <f t="shared" si="20"/>
        <v>6.9719999999999995</v>
      </c>
      <c r="I449" s="86"/>
      <c r="J449" s="86"/>
      <c r="K449" s="86"/>
      <c r="L449" s="86"/>
      <c r="M449" s="86"/>
    </row>
    <row r="450" spans="1:13" x14ac:dyDescent="0.25">
      <c r="I450" s="86"/>
      <c r="J450" s="86"/>
      <c r="K450" s="86"/>
      <c r="L450" s="86"/>
      <c r="M450" s="86"/>
    </row>
    <row r="451" spans="1:13" hidden="1" x14ac:dyDescent="0.25">
      <c r="B451" s="507" t="s">
        <v>1066</v>
      </c>
      <c r="C451" s="182" t="s">
        <v>1064</v>
      </c>
      <c r="D451">
        <f>14.5+32.5</f>
        <v>47</v>
      </c>
      <c r="E451">
        <v>0.3</v>
      </c>
      <c r="G451">
        <v>1</v>
      </c>
      <c r="H451">
        <f>D451*E451*G451*2</f>
        <v>28.2</v>
      </c>
      <c r="I451" s="86"/>
      <c r="J451" s="86"/>
      <c r="K451" s="86"/>
      <c r="L451" s="86"/>
      <c r="M451" s="86"/>
    </row>
    <row r="452" spans="1:13" hidden="1" x14ac:dyDescent="0.25">
      <c r="B452" s="508"/>
      <c r="C452" s="182" t="s">
        <v>1065</v>
      </c>
      <c r="D452">
        <v>0.35</v>
      </c>
      <c r="E452">
        <v>0.83</v>
      </c>
      <c r="G452">
        <v>18</v>
      </c>
      <c r="H452">
        <f>D452*E452*G452*2</f>
        <v>10.457999999999998</v>
      </c>
      <c r="I452" s="86"/>
      <c r="J452" s="86"/>
      <c r="K452" s="86"/>
      <c r="L452" s="86"/>
      <c r="M452" s="86"/>
    </row>
    <row r="453" spans="1:13" hidden="1" x14ac:dyDescent="0.25">
      <c r="I453" s="86"/>
      <c r="J453" s="86"/>
      <c r="K453" s="86"/>
      <c r="L453" s="86"/>
      <c r="M453" s="86"/>
    </row>
    <row r="454" spans="1:13" ht="37.5" customHeight="1" x14ac:dyDescent="0.25">
      <c r="A454" s="80" t="s">
        <v>698</v>
      </c>
      <c r="B454" s="81"/>
      <c r="C454" s="82" t="str">
        <f>VLOOKUP(A454,'Orçamento Sintético'!A:J,4,0)</f>
        <v>CHAPISCO APLICADO EM ALVENARIAS E ESTRUTURAS DE CONCRETO INTERNAS, COM COLHER DE PEDREIRO.  ARGAMASSA TRAÇO 1:3 COM PREPARO MANUAL. AF_10/2022</v>
      </c>
      <c r="D454" s="81"/>
      <c r="E454" s="81" t="str">
        <f>VLOOKUP(A454,'Orçamento Sintético'!A:J,5,0)</f>
        <v>m²</v>
      </c>
      <c r="F454" s="462" t="s">
        <v>966</v>
      </c>
      <c r="G454" s="462"/>
      <c r="H454" s="360">
        <f>SUM(H460:H463)</f>
        <v>470.18399999999997</v>
      </c>
    </row>
    <row r="455" spans="1:13" x14ac:dyDescent="0.25">
      <c r="A455" s="65"/>
      <c r="B455" s="65"/>
      <c r="C455" s="66"/>
      <c r="D455" s="67"/>
      <c r="E455" s="67"/>
      <c r="F455" s="463" t="s">
        <v>578</v>
      </c>
      <c r="G455" s="464"/>
      <c r="H455" s="68"/>
    </row>
    <row r="456" spans="1:13" x14ac:dyDescent="0.25">
      <c r="A456" s="65"/>
      <c r="B456" s="65"/>
      <c r="C456" s="66"/>
      <c r="D456" s="67"/>
      <c r="E456" s="67"/>
      <c r="F456" s="456" t="s">
        <v>579</v>
      </c>
      <c r="G456" s="456"/>
      <c r="H456" s="68">
        <f>VLOOKUP(A454,'Orçamento Sintético'!A:J,6,0)</f>
        <v>1969.41</v>
      </c>
    </row>
    <row r="457" spans="1:13" x14ac:dyDescent="0.25">
      <c r="A457" s="65"/>
      <c r="B457" s="65"/>
      <c r="C457" s="66"/>
      <c r="D457" s="67"/>
      <c r="E457" s="67"/>
      <c r="F457" s="456" t="s">
        <v>596</v>
      </c>
      <c r="G457" s="456"/>
      <c r="H457" s="69">
        <f>SUM(H460:H463)</f>
        <v>470.18399999999997</v>
      </c>
    </row>
    <row r="458" spans="1:13" x14ac:dyDescent="0.25">
      <c r="A458" s="65"/>
      <c r="B458" s="65"/>
      <c r="C458" s="66"/>
      <c r="D458" s="67"/>
      <c r="E458" s="67"/>
      <c r="F458" s="457" t="s">
        <v>580</v>
      </c>
      <c r="G458" s="457"/>
      <c r="H458" s="69">
        <f>H456-H457</f>
        <v>1499.2260000000001</v>
      </c>
    </row>
    <row r="459" spans="1:13" ht="14.25" customHeight="1" x14ac:dyDescent="0.25">
      <c r="A459" s="65"/>
      <c r="B459" s="65"/>
      <c r="C459" s="66"/>
      <c r="D459" s="70" t="s">
        <v>971</v>
      </c>
      <c r="E459" s="70" t="s">
        <v>972</v>
      </c>
      <c r="F459" s="70" t="s">
        <v>976</v>
      </c>
      <c r="G459" s="71" t="s">
        <v>584</v>
      </c>
      <c r="H459" s="75"/>
    </row>
    <row r="460" spans="1:13" ht="14.25" customHeight="1" x14ac:dyDescent="0.25">
      <c r="A460" s="65"/>
      <c r="B460" s="506" t="s">
        <v>980</v>
      </c>
      <c r="C460" s="66" t="s">
        <v>1067</v>
      </c>
      <c r="D460" s="67">
        <f>3.81+0.4+3.82</f>
        <v>8.0299999999999994</v>
      </c>
      <c r="E460" s="67">
        <v>2.6</v>
      </c>
      <c r="F460" s="73"/>
      <c r="G460" s="98">
        <v>12</v>
      </c>
      <c r="H460" s="96">
        <f>G460*D460*E460</f>
        <v>250.53599999999997</v>
      </c>
    </row>
    <row r="461" spans="1:13" ht="14.25" customHeight="1" x14ac:dyDescent="0.25">
      <c r="B461" s="506"/>
      <c r="C461" s="66" t="s">
        <v>1068</v>
      </c>
      <c r="D461" s="67">
        <f>2.535+0.4+2.835</f>
        <v>5.77</v>
      </c>
      <c r="E461" s="67">
        <v>2.6</v>
      </c>
      <c r="F461" s="73"/>
      <c r="G461" s="98">
        <v>8</v>
      </c>
      <c r="H461" s="96">
        <f t="shared" ref="H461:H462" si="21">G461*D461*E461</f>
        <v>120.01599999999999</v>
      </c>
    </row>
    <row r="462" spans="1:13" ht="14.25" customHeight="1" x14ac:dyDescent="0.25">
      <c r="B462" s="506"/>
      <c r="C462" s="66" t="s">
        <v>1069</v>
      </c>
      <c r="D462" s="67">
        <v>3.81</v>
      </c>
      <c r="E462" s="67">
        <v>2.6</v>
      </c>
      <c r="F462" s="73"/>
      <c r="G462" s="98">
        <v>4</v>
      </c>
      <c r="H462" s="96">
        <f t="shared" si="21"/>
        <v>39.624000000000002</v>
      </c>
      <c r="I462" s="86"/>
      <c r="J462" s="86"/>
      <c r="K462" s="86"/>
      <c r="L462" s="86"/>
      <c r="M462" s="86"/>
    </row>
    <row r="463" spans="1:13" ht="14.25" customHeight="1" x14ac:dyDescent="0.25">
      <c r="B463" s="506"/>
      <c r="C463" s="66" t="s">
        <v>1070</v>
      </c>
      <c r="D463" s="67">
        <f>2.535+0.4+2.835</f>
        <v>5.77</v>
      </c>
      <c r="E463" s="67">
        <v>2.6</v>
      </c>
      <c r="F463" s="73"/>
      <c r="G463" s="98">
        <v>4</v>
      </c>
      <c r="H463" s="96">
        <f t="shared" ref="H463" si="22">G463*D463*E463</f>
        <v>60.007999999999996</v>
      </c>
      <c r="I463" s="86"/>
      <c r="J463" s="86"/>
      <c r="K463" s="86"/>
      <c r="L463" s="86"/>
      <c r="M463" s="86"/>
    </row>
    <row r="464" spans="1:13" ht="15" customHeight="1" thickBot="1" x14ac:dyDescent="0.3">
      <c r="I464" s="86"/>
      <c r="J464" s="86"/>
      <c r="K464" s="86"/>
      <c r="L464" s="86"/>
      <c r="M464" s="86"/>
    </row>
    <row r="465" spans="1:13" ht="85.5" customHeight="1" thickTop="1" x14ac:dyDescent="0.25">
      <c r="A465" s="209" t="s">
        <v>944</v>
      </c>
      <c r="B465" s="208"/>
      <c r="C465" s="207"/>
      <c r="D465" s="497" t="s">
        <v>945</v>
      </c>
      <c r="E465" s="498"/>
      <c r="F465" s="498"/>
      <c r="G465" s="498"/>
      <c r="H465" s="499"/>
      <c r="I465" s="494"/>
      <c r="J465" s="416"/>
      <c r="K465" s="416"/>
      <c r="L465" s="416"/>
      <c r="M465" s="416"/>
    </row>
    <row r="466" spans="1:13" x14ac:dyDescent="0.25">
      <c r="A466" s="490" t="s">
        <v>947</v>
      </c>
      <c r="B466" s="491"/>
      <c r="C466" s="491"/>
      <c r="D466" s="500" t="s">
        <v>948</v>
      </c>
      <c r="E466" s="501"/>
      <c r="F466" s="501"/>
      <c r="G466" s="501"/>
      <c r="H466" s="502"/>
      <c r="I466" s="495"/>
      <c r="J466" s="496"/>
      <c r="K466" s="496"/>
      <c r="L466" s="496"/>
      <c r="M466" s="496"/>
    </row>
    <row r="467" spans="1:13" ht="35.25" customHeight="1" thickBot="1" x14ac:dyDescent="0.3">
      <c r="A467" s="492"/>
      <c r="B467" s="493"/>
      <c r="C467" s="493"/>
      <c r="D467" s="503"/>
      <c r="E467" s="504"/>
      <c r="F467" s="504"/>
      <c r="G467" s="504"/>
      <c r="H467" s="505"/>
      <c r="I467" s="495"/>
      <c r="J467" s="496"/>
      <c r="K467" s="496"/>
      <c r="L467" s="496"/>
      <c r="M467" s="496"/>
    </row>
    <row r="468" spans="1:13" ht="14.4" thickBot="1" x14ac:dyDescent="0.3"/>
    <row r="473" spans="1:13" x14ac:dyDescent="0.25">
      <c r="C473" s="86"/>
    </row>
    <row r="474" spans="1:13" x14ac:dyDescent="0.25">
      <c r="C474" s="86"/>
    </row>
    <row r="475" spans="1:13" x14ac:dyDescent="0.25">
      <c r="C475" s="206"/>
    </row>
    <row r="476" spans="1:13" x14ac:dyDescent="0.25">
      <c r="C476" s="489"/>
    </row>
    <row r="477" spans="1:13" x14ac:dyDescent="0.25">
      <c r="C477" s="489"/>
    </row>
    <row r="478" spans="1:13" x14ac:dyDescent="0.25">
      <c r="C478" s="86"/>
    </row>
  </sheetData>
  <mergeCells count="210">
    <mergeCell ref="B321:B326"/>
    <mergeCell ref="B451:B452"/>
    <mergeCell ref="B442:B449"/>
    <mergeCell ref="B460:B463"/>
    <mergeCell ref="F356:G356"/>
    <mergeCell ref="F455:G455"/>
    <mergeCell ref="F456:G456"/>
    <mergeCell ref="F457:G457"/>
    <mergeCell ref="F458:G458"/>
    <mergeCell ref="F367:G367"/>
    <mergeCell ref="F368:G368"/>
    <mergeCell ref="F369:G369"/>
    <mergeCell ref="F379:G379"/>
    <mergeCell ref="F380:G380"/>
    <mergeCell ref="F381:G381"/>
    <mergeCell ref="F409:G409"/>
    <mergeCell ref="F410:G410"/>
    <mergeCell ref="F411:G411"/>
    <mergeCell ref="F419:G419"/>
    <mergeCell ref="B145:B147"/>
    <mergeCell ref="B386:B391"/>
    <mergeCell ref="B244:B253"/>
    <mergeCell ref="B266:B269"/>
    <mergeCell ref="F347:G347"/>
    <mergeCell ref="F348:G348"/>
    <mergeCell ref="B400:B405"/>
    <mergeCell ref="B414:B416"/>
    <mergeCell ref="B428:B430"/>
    <mergeCell ref="F289:G289"/>
    <mergeCell ref="F290:G290"/>
    <mergeCell ref="F271:G271"/>
    <mergeCell ref="F272:G272"/>
    <mergeCell ref="F317:G317"/>
    <mergeCell ref="F329:G329"/>
    <mergeCell ref="F420:G420"/>
    <mergeCell ref="F305:G305"/>
    <mergeCell ref="F421:G421"/>
    <mergeCell ref="F358:G358"/>
    <mergeCell ref="F357:G357"/>
    <mergeCell ref="F359:G359"/>
    <mergeCell ref="F360:G360"/>
    <mergeCell ref="F365:G365"/>
    <mergeCell ref="F366:G366"/>
    <mergeCell ref="B94:B98"/>
    <mergeCell ref="B200:B203"/>
    <mergeCell ref="F454:G454"/>
    <mergeCell ref="F382:G382"/>
    <mergeCell ref="F383:G383"/>
    <mergeCell ref="F393:G393"/>
    <mergeCell ref="F394:G394"/>
    <mergeCell ref="F395:G395"/>
    <mergeCell ref="F396:G396"/>
    <mergeCell ref="F397:G397"/>
    <mergeCell ref="F407:G407"/>
    <mergeCell ref="F408:G408"/>
    <mergeCell ref="F436:G436"/>
    <mergeCell ref="F422:G422"/>
    <mergeCell ref="F432:G432"/>
    <mergeCell ref="F433:G433"/>
    <mergeCell ref="F434:G434"/>
    <mergeCell ref="F435:G435"/>
    <mergeCell ref="B296:B300"/>
    <mergeCell ref="B338:B342"/>
    <mergeCell ref="B169:B186"/>
    <mergeCell ref="B309:B310"/>
    <mergeCell ref="B371:B376"/>
    <mergeCell ref="F100:G100"/>
    <mergeCell ref="F101:G101"/>
    <mergeCell ref="F102:G102"/>
    <mergeCell ref="F103:G103"/>
    <mergeCell ref="F104:G104"/>
    <mergeCell ref="F259:G259"/>
    <mergeCell ref="F260:G260"/>
    <mergeCell ref="F234:G234"/>
    <mergeCell ref="F235:G235"/>
    <mergeCell ref="F236:G236"/>
    <mergeCell ref="F237:G237"/>
    <mergeCell ref="F238:G238"/>
    <mergeCell ref="F222:G222"/>
    <mergeCell ref="F223:G223"/>
    <mergeCell ref="F224:G224"/>
    <mergeCell ref="F225:G225"/>
    <mergeCell ref="F226:G226"/>
    <mergeCell ref="F140:G140"/>
    <mergeCell ref="F141:G141"/>
    <mergeCell ref="F142:G142"/>
    <mergeCell ref="F143:G143"/>
    <mergeCell ref="F149:G149"/>
    <mergeCell ref="F150:G150"/>
    <mergeCell ref="F151:G151"/>
    <mergeCell ref="C476:C477"/>
    <mergeCell ref="A466:C467"/>
    <mergeCell ref="I465:M465"/>
    <mergeCell ref="I466:M467"/>
    <mergeCell ref="D465:H465"/>
    <mergeCell ref="D466:H467"/>
    <mergeCell ref="F116:G116"/>
    <mergeCell ref="F117:G117"/>
    <mergeCell ref="F118:G118"/>
    <mergeCell ref="F119:G119"/>
    <mergeCell ref="F120:G120"/>
    <mergeCell ref="F160:G160"/>
    <mergeCell ref="F161:G161"/>
    <mergeCell ref="F162:G162"/>
    <mergeCell ref="F163:G163"/>
    <mergeCell ref="F164:G164"/>
    <mergeCell ref="F275:G275"/>
    <mergeCell ref="F287:G287"/>
    <mergeCell ref="F288:G288"/>
    <mergeCell ref="F273:G273"/>
    <mergeCell ref="F274:G274"/>
    <mergeCell ref="F256:G256"/>
    <mergeCell ref="F257:G257"/>
    <mergeCell ref="F258:G258"/>
    <mergeCell ref="F78:G78"/>
    <mergeCell ref="F79:G79"/>
    <mergeCell ref="F80:G80"/>
    <mergeCell ref="F81:G81"/>
    <mergeCell ref="F85:G85"/>
    <mergeCell ref="F86:G86"/>
    <mergeCell ref="F87:G87"/>
    <mergeCell ref="F88:G88"/>
    <mergeCell ref="F89:G89"/>
    <mergeCell ref="F63:G63"/>
    <mergeCell ref="F64:G64"/>
    <mergeCell ref="F65:G65"/>
    <mergeCell ref="F69:G69"/>
    <mergeCell ref="F70:G70"/>
    <mergeCell ref="F71:G71"/>
    <mergeCell ref="F72:G72"/>
    <mergeCell ref="F73:G73"/>
    <mergeCell ref="F77:G77"/>
    <mergeCell ref="C2:H2"/>
    <mergeCell ref="A7:H7"/>
    <mergeCell ref="A2:B2"/>
    <mergeCell ref="A6:B6"/>
    <mergeCell ref="A3:B3"/>
    <mergeCell ref="A4:B4"/>
    <mergeCell ref="A5:B5"/>
    <mergeCell ref="A8:H8"/>
    <mergeCell ref="C3:H3"/>
    <mergeCell ref="C4:H4"/>
    <mergeCell ref="C5:H5"/>
    <mergeCell ref="C6:F6"/>
    <mergeCell ref="F10:G10"/>
    <mergeCell ref="F11:G11"/>
    <mergeCell ref="F12:G12"/>
    <mergeCell ref="F13:G13"/>
    <mergeCell ref="F14:G14"/>
    <mergeCell ref="F21:G21"/>
    <mergeCell ref="F22:G22"/>
    <mergeCell ref="F23:G23"/>
    <mergeCell ref="F24:G24"/>
    <mergeCell ref="F25:G25"/>
    <mergeCell ref="F29:G29"/>
    <mergeCell ref="F30:G30"/>
    <mergeCell ref="F31:G31"/>
    <mergeCell ref="F32:G32"/>
    <mergeCell ref="F33:G33"/>
    <mergeCell ref="F37:G37"/>
    <mergeCell ref="F38:G38"/>
    <mergeCell ref="F39:G39"/>
    <mergeCell ref="F40:G40"/>
    <mergeCell ref="F210:G210"/>
    <mergeCell ref="F211:G211"/>
    <mergeCell ref="F212:G212"/>
    <mergeCell ref="F213:G213"/>
    <mergeCell ref="F214:G214"/>
    <mergeCell ref="F190:G190"/>
    <mergeCell ref="F191:G191"/>
    <mergeCell ref="F192:G192"/>
    <mergeCell ref="F193:G193"/>
    <mergeCell ref="F194:G194"/>
    <mergeCell ref="F41:G41"/>
    <mergeCell ref="F45:G45"/>
    <mergeCell ref="F46:G46"/>
    <mergeCell ref="F47:G47"/>
    <mergeCell ref="F48:G48"/>
    <mergeCell ref="F49:G49"/>
    <mergeCell ref="F53:G53"/>
    <mergeCell ref="F54:G54"/>
    <mergeCell ref="F55:G55"/>
    <mergeCell ref="F56:G56"/>
    <mergeCell ref="F57:G57"/>
    <mergeCell ref="F61:G61"/>
    <mergeCell ref="F62:G62"/>
    <mergeCell ref="B279:B284"/>
    <mergeCell ref="F152:G152"/>
    <mergeCell ref="F153:G153"/>
    <mergeCell ref="B109:B114"/>
    <mergeCell ref="B129:B130"/>
    <mergeCell ref="B133:B138"/>
    <mergeCell ref="F139:G139"/>
    <mergeCell ref="F333:G333"/>
    <mergeCell ref="F418:G418"/>
    <mergeCell ref="F344:G344"/>
    <mergeCell ref="F345:G345"/>
    <mergeCell ref="F346:G346"/>
    <mergeCell ref="F330:G330"/>
    <mergeCell ref="F331:G331"/>
    <mergeCell ref="F332:G332"/>
    <mergeCell ref="F291:G291"/>
    <mergeCell ref="F313:G313"/>
    <mergeCell ref="F314:G314"/>
    <mergeCell ref="F315:G315"/>
    <mergeCell ref="F316:G316"/>
    <mergeCell ref="F306:G306"/>
    <mergeCell ref="F302:G302"/>
    <mergeCell ref="F303:G303"/>
    <mergeCell ref="F304:G304"/>
  </mergeCells>
  <phoneticPr fontId="30" type="noConversion"/>
  <pageMargins left="0.511811024" right="0.511811024" top="0.78740157499999996" bottom="0.78740157499999996" header="0.31496062000000002" footer="0.31496062000000002"/>
  <pageSetup scale="7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F243"/>
  <sheetViews>
    <sheetView view="pageBreakPreview" topLeftCell="A121" zoomScale="120" zoomScaleNormal="85" zoomScaleSheetLayoutView="120" workbookViewId="0">
      <selection activeCell="J54" sqref="J54"/>
    </sheetView>
  </sheetViews>
  <sheetFormatPr defaultColWidth="5" defaultRowHeight="14.4" x14ac:dyDescent="0.3"/>
  <cols>
    <col min="1" max="1" width="1.5" style="103" customWidth="1"/>
    <col min="2" max="8" width="5.5" style="103" customWidth="1"/>
    <col min="9" max="9" width="1.5" style="103" customWidth="1"/>
    <col min="10" max="16" width="5.5" style="103" customWidth="1"/>
    <col min="17" max="17" width="1.5" style="103" customWidth="1"/>
    <col min="18" max="16384" width="5" style="103"/>
  </cols>
  <sheetData>
    <row r="1" spans="1:17" ht="17.399999999999999" x14ac:dyDescent="0.3">
      <c r="A1" s="530" t="s">
        <v>875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2"/>
    </row>
    <row r="2" spans="1:17" ht="23.25" customHeight="1" x14ac:dyDescent="0.3"/>
    <row r="3" spans="1:17" x14ac:dyDescent="0.3">
      <c r="A3" s="104"/>
      <c r="B3" s="521"/>
      <c r="C3" s="522"/>
      <c r="D3" s="522"/>
      <c r="E3" s="522"/>
      <c r="F3" s="522"/>
      <c r="G3" s="522"/>
      <c r="H3" s="523"/>
      <c r="I3" s="104"/>
      <c r="J3" s="106"/>
      <c r="K3" s="106"/>
      <c r="L3" s="106"/>
      <c r="M3" s="106"/>
      <c r="N3" s="106"/>
      <c r="O3" s="106"/>
      <c r="P3" s="106"/>
      <c r="Q3" s="104"/>
    </row>
    <row r="4" spans="1:17" x14ac:dyDescent="0.3">
      <c r="A4" s="104"/>
      <c r="B4" s="524"/>
      <c r="C4" s="525"/>
      <c r="D4" s="525"/>
      <c r="E4" s="525"/>
      <c r="F4" s="525"/>
      <c r="G4" s="525"/>
      <c r="H4" s="526"/>
      <c r="I4" s="104"/>
      <c r="J4" s="104"/>
      <c r="K4" s="104"/>
      <c r="L4" s="104"/>
      <c r="M4" s="104"/>
      <c r="N4" s="104"/>
      <c r="O4" s="104"/>
      <c r="P4" s="104"/>
      <c r="Q4" s="104"/>
    </row>
    <row r="5" spans="1:17" x14ac:dyDescent="0.3">
      <c r="A5" s="104"/>
      <c r="B5" s="524"/>
      <c r="C5" s="525"/>
      <c r="D5" s="525"/>
      <c r="E5" s="525"/>
      <c r="F5" s="525"/>
      <c r="G5" s="525"/>
      <c r="H5" s="526"/>
      <c r="I5" s="104"/>
      <c r="J5" s="104"/>
      <c r="K5" s="104"/>
      <c r="L5" s="104"/>
      <c r="M5" s="104"/>
      <c r="N5" s="104"/>
      <c r="O5" s="104"/>
      <c r="P5" s="104"/>
      <c r="Q5" s="104"/>
    </row>
    <row r="6" spans="1:17" x14ac:dyDescent="0.3">
      <c r="A6" s="104"/>
      <c r="B6" s="524"/>
      <c r="C6" s="525"/>
      <c r="D6" s="525"/>
      <c r="E6" s="525"/>
      <c r="F6" s="525"/>
      <c r="G6" s="525"/>
      <c r="H6" s="526"/>
      <c r="I6" s="104"/>
      <c r="J6" s="104"/>
      <c r="K6" s="104"/>
      <c r="L6" s="104"/>
      <c r="M6" s="104"/>
      <c r="N6" s="104"/>
      <c r="O6" s="104"/>
      <c r="P6" s="104"/>
      <c r="Q6" s="104"/>
    </row>
    <row r="7" spans="1:17" x14ac:dyDescent="0.3">
      <c r="A7" s="104"/>
      <c r="B7" s="524"/>
      <c r="C7" s="525"/>
      <c r="D7" s="525"/>
      <c r="E7" s="525"/>
      <c r="F7" s="525"/>
      <c r="G7" s="525"/>
      <c r="H7" s="526"/>
      <c r="I7" s="104"/>
      <c r="J7" s="104"/>
      <c r="K7" s="104"/>
      <c r="L7" s="104"/>
      <c r="M7" s="104"/>
      <c r="N7" s="104"/>
      <c r="O7" s="104"/>
      <c r="P7" s="104"/>
      <c r="Q7" s="104"/>
    </row>
    <row r="8" spans="1:17" x14ac:dyDescent="0.3">
      <c r="A8" s="104"/>
      <c r="B8" s="524"/>
      <c r="C8" s="525"/>
      <c r="D8" s="525"/>
      <c r="E8" s="525"/>
      <c r="F8" s="525"/>
      <c r="G8" s="525"/>
      <c r="H8" s="526"/>
      <c r="I8" s="104"/>
      <c r="J8" s="104"/>
      <c r="K8" s="104"/>
      <c r="L8" s="104"/>
      <c r="M8" s="104"/>
      <c r="N8" s="104"/>
      <c r="O8" s="104"/>
      <c r="P8" s="104"/>
      <c r="Q8" s="104"/>
    </row>
    <row r="9" spans="1:17" x14ac:dyDescent="0.3">
      <c r="A9" s="104"/>
      <c r="B9" s="524"/>
      <c r="C9" s="525"/>
      <c r="D9" s="525"/>
      <c r="E9" s="525"/>
      <c r="F9" s="525"/>
      <c r="G9" s="525"/>
      <c r="H9" s="526"/>
      <c r="I9" s="104"/>
      <c r="J9" s="104"/>
      <c r="K9" s="104"/>
      <c r="L9" s="104"/>
      <c r="M9" s="104"/>
      <c r="N9" s="104"/>
      <c r="O9" s="104"/>
      <c r="P9" s="104"/>
      <c r="Q9" s="104"/>
    </row>
    <row r="10" spans="1:17" x14ac:dyDescent="0.3">
      <c r="A10" s="104"/>
      <c r="B10" s="524"/>
      <c r="C10" s="525"/>
      <c r="D10" s="525"/>
      <c r="E10" s="525"/>
      <c r="F10" s="525"/>
      <c r="G10" s="525"/>
      <c r="H10" s="526"/>
      <c r="I10" s="104"/>
      <c r="J10" s="104"/>
      <c r="K10" s="104"/>
      <c r="L10" s="104"/>
      <c r="M10" s="104"/>
      <c r="N10" s="104"/>
      <c r="O10" s="104"/>
      <c r="P10" s="104"/>
      <c r="Q10" s="104"/>
    </row>
    <row r="11" spans="1:17" x14ac:dyDescent="0.3">
      <c r="A11" s="104"/>
      <c r="B11" s="524"/>
      <c r="C11" s="525"/>
      <c r="D11" s="525"/>
      <c r="E11" s="525"/>
      <c r="F11" s="525"/>
      <c r="G11" s="525"/>
      <c r="H11" s="526"/>
      <c r="I11" s="104"/>
      <c r="J11" s="104"/>
      <c r="K11" s="104"/>
      <c r="L11" s="104"/>
      <c r="M11" s="104"/>
      <c r="N11" s="104"/>
      <c r="O11" s="104"/>
      <c r="P11" s="104"/>
      <c r="Q11" s="104"/>
    </row>
    <row r="12" spans="1:17" x14ac:dyDescent="0.3">
      <c r="A12" s="104"/>
      <c r="B12" s="524"/>
      <c r="C12" s="525"/>
      <c r="D12" s="525"/>
      <c r="E12" s="525"/>
      <c r="F12" s="525"/>
      <c r="G12" s="525"/>
      <c r="H12" s="526"/>
      <c r="I12" s="104"/>
      <c r="J12" s="104"/>
      <c r="K12" s="104"/>
      <c r="L12" s="104"/>
      <c r="M12" s="104"/>
      <c r="N12" s="104"/>
      <c r="O12" s="104"/>
      <c r="P12" s="104"/>
      <c r="Q12" s="104"/>
    </row>
    <row r="13" spans="1:17" x14ac:dyDescent="0.3">
      <c r="A13" s="104"/>
      <c r="B13" s="527"/>
      <c r="C13" s="528"/>
      <c r="D13" s="528"/>
      <c r="E13" s="528"/>
      <c r="F13" s="528"/>
      <c r="G13" s="528"/>
      <c r="H13" s="529"/>
      <c r="I13" s="104"/>
      <c r="J13" s="104"/>
      <c r="K13" s="104"/>
      <c r="L13" s="104"/>
      <c r="M13" s="104"/>
      <c r="N13" s="104"/>
      <c r="O13" s="104"/>
      <c r="P13" s="104"/>
      <c r="Q13" s="104"/>
    </row>
    <row r="14" spans="1:17" s="105" customFormat="1" ht="38.25" customHeight="1" x14ac:dyDescent="0.25">
      <c r="A14" s="104"/>
      <c r="B14" s="107" t="s">
        <v>605</v>
      </c>
      <c r="C14" s="511" t="str">
        <f>VLOOKUP(B14,'Orçamento Sintético'!A:J,4,0)</f>
        <v>LOCAÇÃO DA OBRA - EXECUÇÃO DE GABARITO</v>
      </c>
      <c r="D14" s="511"/>
      <c r="E14" s="511"/>
      <c r="F14" s="511"/>
      <c r="G14" s="511"/>
      <c r="H14" s="511"/>
      <c r="I14" s="104"/>
      <c r="J14" s="107" t="s">
        <v>619</v>
      </c>
      <c r="K14" s="511" t="str">
        <f>VLOOKUP(J14,'Orçamento Sintético'!A:J,4,0)</f>
        <v>ATERRO MANUAL DE VALAS COM SOLO ARGILO-ARENOSO E COMPACTAÇÃO MECANIZADA. AF_05/2016</v>
      </c>
      <c r="L14" s="511"/>
      <c r="M14" s="511"/>
      <c r="N14" s="511"/>
      <c r="O14" s="511"/>
      <c r="P14" s="511"/>
      <c r="Q14" s="104"/>
    </row>
    <row r="16" spans="1:17" x14ac:dyDescent="0.3">
      <c r="B16" s="512"/>
      <c r="C16" s="513"/>
      <c r="D16" s="513"/>
      <c r="E16" s="513"/>
      <c r="F16" s="513"/>
      <c r="G16" s="513"/>
      <c r="H16" s="514"/>
      <c r="J16" s="512"/>
      <c r="K16" s="513"/>
      <c r="L16" s="513"/>
      <c r="M16" s="513"/>
      <c r="N16" s="513"/>
      <c r="O16" s="513"/>
      <c r="P16" s="514"/>
    </row>
    <row r="17" spans="1:17" x14ac:dyDescent="0.3">
      <c r="B17" s="515"/>
      <c r="C17" s="516"/>
      <c r="D17" s="516"/>
      <c r="E17" s="516"/>
      <c r="F17" s="516"/>
      <c r="G17" s="516"/>
      <c r="H17" s="517"/>
      <c r="J17" s="515"/>
      <c r="K17" s="516"/>
      <c r="L17" s="516"/>
      <c r="M17" s="516"/>
      <c r="N17" s="516"/>
      <c r="O17" s="516"/>
      <c r="P17" s="517"/>
    </row>
    <row r="18" spans="1:17" x14ac:dyDescent="0.3">
      <c r="B18" s="515"/>
      <c r="C18" s="516"/>
      <c r="D18" s="516"/>
      <c r="E18" s="516"/>
      <c r="F18" s="516"/>
      <c r="G18" s="516"/>
      <c r="H18" s="517"/>
      <c r="J18" s="515"/>
      <c r="K18" s="516"/>
      <c r="L18" s="516"/>
      <c r="M18" s="516"/>
      <c r="N18" s="516"/>
      <c r="O18" s="516"/>
      <c r="P18" s="517"/>
    </row>
    <row r="19" spans="1:17" x14ac:dyDescent="0.3">
      <c r="B19" s="515"/>
      <c r="C19" s="516"/>
      <c r="D19" s="516"/>
      <c r="E19" s="516"/>
      <c r="F19" s="516"/>
      <c r="G19" s="516"/>
      <c r="H19" s="517"/>
      <c r="J19" s="515"/>
      <c r="K19" s="516"/>
      <c r="L19" s="516"/>
      <c r="M19" s="516"/>
      <c r="N19" s="516"/>
      <c r="O19" s="516"/>
      <c r="P19" s="517"/>
    </row>
    <row r="20" spans="1:17" x14ac:dyDescent="0.3">
      <c r="B20" s="515"/>
      <c r="C20" s="516"/>
      <c r="D20" s="516"/>
      <c r="E20" s="516"/>
      <c r="F20" s="516"/>
      <c r="G20" s="516"/>
      <c r="H20" s="517"/>
      <c r="J20" s="515"/>
      <c r="K20" s="516"/>
      <c r="L20" s="516"/>
      <c r="M20" s="516"/>
      <c r="N20" s="516"/>
      <c r="O20" s="516"/>
      <c r="P20" s="517"/>
    </row>
    <row r="21" spans="1:17" x14ac:dyDescent="0.3">
      <c r="B21" s="515"/>
      <c r="C21" s="516"/>
      <c r="D21" s="516"/>
      <c r="E21" s="516"/>
      <c r="F21" s="516"/>
      <c r="G21" s="516"/>
      <c r="H21" s="517"/>
      <c r="J21" s="515"/>
      <c r="K21" s="516"/>
      <c r="L21" s="516"/>
      <c r="M21" s="516"/>
      <c r="N21" s="516"/>
      <c r="O21" s="516"/>
      <c r="P21" s="517"/>
    </row>
    <row r="22" spans="1:17" x14ac:dyDescent="0.3">
      <c r="B22" s="515"/>
      <c r="C22" s="516"/>
      <c r="D22" s="516"/>
      <c r="E22" s="516"/>
      <c r="F22" s="516"/>
      <c r="G22" s="516"/>
      <c r="H22" s="517"/>
      <c r="J22" s="515"/>
      <c r="K22" s="516"/>
      <c r="L22" s="516"/>
      <c r="M22" s="516"/>
      <c r="N22" s="516"/>
      <c r="O22" s="516"/>
      <c r="P22" s="517"/>
    </row>
    <row r="23" spans="1:17" x14ac:dyDescent="0.3">
      <c r="B23" s="515"/>
      <c r="C23" s="516"/>
      <c r="D23" s="516"/>
      <c r="E23" s="516"/>
      <c r="F23" s="516"/>
      <c r="G23" s="516"/>
      <c r="H23" s="517"/>
      <c r="J23" s="515"/>
      <c r="K23" s="516"/>
      <c r="L23" s="516"/>
      <c r="M23" s="516"/>
      <c r="N23" s="516"/>
      <c r="O23" s="516"/>
      <c r="P23" s="517"/>
    </row>
    <row r="24" spans="1:17" x14ac:dyDescent="0.3">
      <c r="B24" s="515"/>
      <c r="C24" s="516"/>
      <c r="D24" s="516"/>
      <c r="E24" s="516"/>
      <c r="F24" s="516"/>
      <c r="G24" s="516"/>
      <c r="H24" s="517"/>
      <c r="J24" s="515"/>
      <c r="K24" s="516"/>
      <c r="L24" s="516"/>
      <c r="M24" s="516"/>
      <c r="N24" s="516"/>
      <c r="O24" s="516"/>
      <c r="P24" s="517"/>
    </row>
    <row r="25" spans="1:17" x14ac:dyDescent="0.3">
      <c r="B25" s="515"/>
      <c r="C25" s="516"/>
      <c r="D25" s="516"/>
      <c r="E25" s="516"/>
      <c r="F25" s="516"/>
      <c r="G25" s="516"/>
      <c r="H25" s="517"/>
      <c r="J25" s="515"/>
      <c r="K25" s="516"/>
      <c r="L25" s="516"/>
      <c r="M25" s="516"/>
      <c r="N25" s="516"/>
      <c r="O25" s="516"/>
      <c r="P25" s="517"/>
    </row>
    <row r="26" spans="1:17" x14ac:dyDescent="0.3">
      <c r="B26" s="518"/>
      <c r="C26" s="519"/>
      <c r="D26" s="519"/>
      <c r="E26" s="519"/>
      <c r="F26" s="519"/>
      <c r="G26" s="519"/>
      <c r="H26" s="520"/>
      <c r="J26" s="518"/>
      <c r="K26" s="519"/>
      <c r="L26" s="519"/>
      <c r="M26" s="519"/>
      <c r="N26" s="519"/>
      <c r="O26" s="519"/>
      <c r="P26" s="520"/>
    </row>
    <row r="27" spans="1:17" s="104" customFormat="1" ht="21.75" customHeight="1" x14ac:dyDescent="0.25">
      <c r="B27" s="107" t="s">
        <v>620</v>
      </c>
      <c r="C27" s="511" t="str">
        <f>VLOOKUP(B27,'Orçamento Sintético'!A:J,4,0)</f>
        <v>ESCAVAÇÃO MANUAL DE VALA COM PROFUNDIDADE MENOR OU IGUAL A 1,30 M. AF_02/2021</v>
      </c>
      <c r="D27" s="511"/>
      <c r="E27" s="511"/>
      <c r="F27" s="511"/>
      <c r="G27" s="511"/>
      <c r="H27" s="511"/>
      <c r="J27" s="107" t="s">
        <v>636</v>
      </c>
      <c r="K27" s="511" t="str">
        <f>VLOOKUP(J27,'Orçamento Sintético'!A:J,4,0)</f>
        <v>ATERRO MANUAL DE VALAS COM SOLO ARGILO-ARENOSO E COMPACTAÇÃO MECANIZADA. AF_05/2016</v>
      </c>
      <c r="L27" s="511"/>
      <c r="M27" s="511"/>
      <c r="N27" s="511"/>
      <c r="O27" s="511"/>
      <c r="P27" s="511"/>
    </row>
    <row r="28" spans="1:17" ht="7.5" customHeight="1" x14ac:dyDescent="0.3"/>
    <row r="29" spans="1:17" x14ac:dyDescent="0.3">
      <c r="A29" s="104"/>
      <c r="B29" s="521"/>
      <c r="C29" s="522"/>
      <c r="D29" s="522"/>
      <c r="E29" s="522"/>
      <c r="F29" s="522"/>
      <c r="G29" s="522"/>
      <c r="H29" s="523"/>
      <c r="I29" s="104"/>
      <c r="J29" s="521"/>
      <c r="K29" s="522"/>
      <c r="L29" s="522"/>
      <c r="M29" s="522"/>
      <c r="N29" s="522"/>
      <c r="O29" s="522"/>
      <c r="P29" s="523"/>
      <c r="Q29" s="104"/>
    </row>
    <row r="30" spans="1:17" x14ac:dyDescent="0.3">
      <c r="A30" s="104"/>
      <c r="B30" s="524"/>
      <c r="C30" s="525"/>
      <c r="D30" s="525"/>
      <c r="E30" s="525"/>
      <c r="F30" s="525"/>
      <c r="G30" s="525"/>
      <c r="H30" s="526"/>
      <c r="I30" s="104"/>
      <c r="J30" s="524"/>
      <c r="K30" s="525"/>
      <c r="L30" s="525"/>
      <c r="M30" s="525"/>
      <c r="N30" s="525"/>
      <c r="O30" s="525"/>
      <c r="P30" s="526"/>
      <c r="Q30" s="104"/>
    </row>
    <row r="31" spans="1:17" x14ac:dyDescent="0.3">
      <c r="A31" s="104"/>
      <c r="B31" s="524"/>
      <c r="C31" s="525"/>
      <c r="D31" s="525"/>
      <c r="E31" s="525"/>
      <c r="F31" s="525"/>
      <c r="G31" s="525"/>
      <c r="H31" s="526"/>
      <c r="I31" s="104"/>
      <c r="J31" s="524"/>
      <c r="K31" s="525"/>
      <c r="L31" s="525"/>
      <c r="M31" s="525"/>
      <c r="N31" s="525"/>
      <c r="O31" s="525"/>
      <c r="P31" s="526"/>
      <c r="Q31" s="104"/>
    </row>
    <row r="32" spans="1:17" x14ac:dyDescent="0.3">
      <c r="A32" s="104"/>
      <c r="B32" s="524"/>
      <c r="C32" s="525"/>
      <c r="D32" s="525"/>
      <c r="E32" s="525"/>
      <c r="F32" s="525"/>
      <c r="G32" s="525"/>
      <c r="H32" s="526"/>
      <c r="I32" s="104"/>
      <c r="J32" s="524"/>
      <c r="K32" s="525"/>
      <c r="L32" s="525"/>
      <c r="M32" s="525"/>
      <c r="N32" s="525"/>
      <c r="O32" s="525"/>
      <c r="P32" s="526"/>
      <c r="Q32" s="104"/>
    </row>
    <row r="33" spans="1:17" x14ac:dyDescent="0.3">
      <c r="A33" s="104"/>
      <c r="B33" s="524"/>
      <c r="C33" s="525"/>
      <c r="D33" s="525"/>
      <c r="E33" s="525"/>
      <c r="F33" s="525"/>
      <c r="G33" s="525"/>
      <c r="H33" s="526"/>
      <c r="I33" s="104"/>
      <c r="J33" s="524"/>
      <c r="K33" s="525"/>
      <c r="L33" s="525"/>
      <c r="M33" s="525"/>
      <c r="N33" s="525"/>
      <c r="O33" s="525"/>
      <c r="P33" s="526"/>
      <c r="Q33" s="104"/>
    </row>
    <row r="34" spans="1:17" x14ac:dyDescent="0.3">
      <c r="A34" s="104"/>
      <c r="B34" s="524"/>
      <c r="C34" s="525"/>
      <c r="D34" s="525"/>
      <c r="E34" s="525"/>
      <c r="F34" s="525"/>
      <c r="G34" s="525"/>
      <c r="H34" s="526"/>
      <c r="I34" s="104"/>
      <c r="J34" s="524"/>
      <c r="K34" s="525"/>
      <c r="L34" s="525"/>
      <c r="M34" s="525"/>
      <c r="N34" s="525"/>
      <c r="O34" s="525"/>
      <c r="P34" s="526"/>
      <c r="Q34" s="104"/>
    </row>
    <row r="35" spans="1:17" x14ac:dyDescent="0.3">
      <c r="A35" s="104"/>
      <c r="B35" s="524"/>
      <c r="C35" s="525"/>
      <c r="D35" s="525"/>
      <c r="E35" s="525"/>
      <c r="F35" s="525"/>
      <c r="G35" s="525"/>
      <c r="H35" s="526"/>
      <c r="I35" s="104"/>
      <c r="J35" s="524"/>
      <c r="K35" s="525"/>
      <c r="L35" s="525"/>
      <c r="M35" s="525"/>
      <c r="N35" s="525"/>
      <c r="O35" s="525"/>
      <c r="P35" s="526"/>
      <c r="Q35" s="104"/>
    </row>
    <row r="36" spans="1:17" x14ac:dyDescent="0.3">
      <c r="A36" s="104"/>
      <c r="B36" s="524"/>
      <c r="C36" s="525"/>
      <c r="D36" s="525"/>
      <c r="E36" s="525"/>
      <c r="F36" s="525"/>
      <c r="G36" s="525"/>
      <c r="H36" s="526"/>
      <c r="I36" s="104"/>
      <c r="J36" s="524"/>
      <c r="K36" s="525"/>
      <c r="L36" s="525"/>
      <c r="M36" s="525"/>
      <c r="N36" s="525"/>
      <c r="O36" s="525"/>
      <c r="P36" s="526"/>
      <c r="Q36" s="104"/>
    </row>
    <row r="37" spans="1:17" x14ac:dyDescent="0.3">
      <c r="A37" s="104"/>
      <c r="B37" s="524"/>
      <c r="C37" s="525"/>
      <c r="D37" s="525"/>
      <c r="E37" s="525"/>
      <c r="F37" s="525"/>
      <c r="G37" s="525"/>
      <c r="H37" s="526"/>
      <c r="I37" s="104"/>
      <c r="J37" s="524"/>
      <c r="K37" s="525"/>
      <c r="L37" s="525"/>
      <c r="M37" s="525"/>
      <c r="N37" s="525"/>
      <c r="O37" s="525"/>
      <c r="P37" s="526"/>
      <c r="Q37" s="104"/>
    </row>
    <row r="38" spans="1:17" x14ac:dyDescent="0.3">
      <c r="A38" s="104"/>
      <c r="B38" s="524"/>
      <c r="C38" s="525"/>
      <c r="D38" s="525"/>
      <c r="E38" s="525"/>
      <c r="F38" s="525"/>
      <c r="G38" s="525"/>
      <c r="H38" s="526"/>
      <c r="I38" s="104"/>
      <c r="J38" s="524"/>
      <c r="K38" s="525"/>
      <c r="L38" s="525"/>
      <c r="M38" s="525"/>
      <c r="N38" s="525"/>
      <c r="O38" s="525"/>
      <c r="P38" s="526"/>
      <c r="Q38" s="104"/>
    </row>
    <row r="39" spans="1:17" x14ac:dyDescent="0.3">
      <c r="A39" s="104"/>
      <c r="B39" s="527"/>
      <c r="C39" s="528"/>
      <c r="D39" s="528"/>
      <c r="E39" s="528"/>
      <c r="F39" s="528"/>
      <c r="G39" s="528"/>
      <c r="H39" s="529"/>
      <c r="I39" s="104"/>
      <c r="J39" s="527"/>
      <c r="K39" s="528"/>
      <c r="L39" s="528"/>
      <c r="M39" s="528"/>
      <c r="N39" s="528"/>
      <c r="O39" s="528"/>
      <c r="P39" s="529"/>
      <c r="Q39" s="104"/>
    </row>
    <row r="40" spans="1:17" s="105" customFormat="1" ht="24" customHeight="1" x14ac:dyDescent="0.25">
      <c r="A40" s="104"/>
      <c r="B40" s="107" t="s">
        <v>637</v>
      </c>
      <c r="C40" s="511" t="str">
        <f>VLOOKUP(B40,'Orçamento Sintético'!A:J,4,0)</f>
        <v>REATERRO MANUAL DE VALAS COM COMPACTAÇÃO MECANIZADA. AF_04/2016</v>
      </c>
      <c r="D40" s="511"/>
      <c r="E40" s="511"/>
      <c r="F40" s="511"/>
      <c r="G40" s="511"/>
      <c r="H40" s="511"/>
      <c r="I40" s="104"/>
      <c r="J40" s="107" t="s">
        <v>626</v>
      </c>
      <c r="K40" s="511" t="str">
        <f>VLOOKUP(J40,'Orçamento Sintético'!A:J,4,0)</f>
        <v>LASTRO DE CONCRETO MAGRO, APLICADO EM BLOCOS DE COROAMENTO OU SAPATAS, ESPESSURA DE 5 CM. AF_08/2017</v>
      </c>
      <c r="L40" s="511"/>
      <c r="M40" s="511"/>
      <c r="N40" s="511"/>
      <c r="O40" s="511"/>
      <c r="P40" s="511"/>
      <c r="Q40" s="104"/>
    </row>
    <row r="41" spans="1:17" ht="5.25" customHeight="1" x14ac:dyDescent="0.3"/>
    <row r="42" spans="1:17" x14ac:dyDescent="0.3">
      <c r="B42" s="512"/>
      <c r="C42" s="513"/>
      <c r="D42" s="513"/>
      <c r="E42" s="513"/>
      <c r="F42" s="513"/>
      <c r="G42" s="513"/>
      <c r="H42" s="514"/>
      <c r="J42" s="512"/>
      <c r="K42" s="513"/>
      <c r="L42" s="513"/>
      <c r="M42" s="513"/>
      <c r="N42" s="513"/>
      <c r="O42" s="513"/>
      <c r="P42" s="514"/>
    </row>
    <row r="43" spans="1:17" x14ac:dyDescent="0.3">
      <c r="B43" s="515"/>
      <c r="C43" s="516"/>
      <c r="D43" s="516"/>
      <c r="E43" s="516"/>
      <c r="F43" s="516"/>
      <c r="G43" s="516"/>
      <c r="H43" s="517"/>
      <c r="J43" s="515"/>
      <c r="K43" s="516"/>
      <c r="L43" s="516"/>
      <c r="M43" s="516"/>
      <c r="N43" s="516"/>
      <c r="O43" s="516"/>
      <c r="P43" s="517"/>
    </row>
    <row r="44" spans="1:17" x14ac:dyDescent="0.3">
      <c r="B44" s="515"/>
      <c r="C44" s="516"/>
      <c r="D44" s="516"/>
      <c r="E44" s="516"/>
      <c r="F44" s="516"/>
      <c r="G44" s="516"/>
      <c r="H44" s="517"/>
      <c r="J44" s="515"/>
      <c r="K44" s="516"/>
      <c r="L44" s="516"/>
      <c r="M44" s="516"/>
      <c r="N44" s="516"/>
      <c r="O44" s="516"/>
      <c r="P44" s="517"/>
    </row>
    <row r="45" spans="1:17" x14ac:dyDescent="0.3">
      <c r="B45" s="515"/>
      <c r="C45" s="516"/>
      <c r="D45" s="516"/>
      <c r="E45" s="516"/>
      <c r="F45" s="516"/>
      <c r="G45" s="516"/>
      <c r="H45" s="517"/>
      <c r="J45" s="515"/>
      <c r="K45" s="516"/>
      <c r="L45" s="516"/>
      <c r="M45" s="516"/>
      <c r="N45" s="516"/>
      <c r="O45" s="516"/>
      <c r="P45" s="517"/>
    </row>
    <row r="46" spans="1:17" x14ac:dyDescent="0.3">
      <c r="B46" s="515"/>
      <c r="C46" s="516"/>
      <c r="D46" s="516"/>
      <c r="E46" s="516"/>
      <c r="F46" s="516"/>
      <c r="G46" s="516"/>
      <c r="H46" s="517"/>
      <c r="J46" s="515"/>
      <c r="K46" s="516"/>
      <c r="L46" s="516"/>
      <c r="M46" s="516"/>
      <c r="N46" s="516"/>
      <c r="O46" s="516"/>
      <c r="P46" s="517"/>
    </row>
    <row r="47" spans="1:17" x14ac:dyDescent="0.3">
      <c r="B47" s="515"/>
      <c r="C47" s="516"/>
      <c r="D47" s="516"/>
      <c r="E47" s="516"/>
      <c r="F47" s="516"/>
      <c r="G47" s="516"/>
      <c r="H47" s="517"/>
      <c r="J47" s="515"/>
      <c r="K47" s="516"/>
      <c r="L47" s="516"/>
      <c r="M47" s="516"/>
      <c r="N47" s="516"/>
      <c r="O47" s="516"/>
      <c r="P47" s="517"/>
    </row>
    <row r="48" spans="1:17" x14ac:dyDescent="0.3">
      <c r="B48" s="515"/>
      <c r="C48" s="516"/>
      <c r="D48" s="516"/>
      <c r="E48" s="516"/>
      <c r="F48" s="516"/>
      <c r="G48" s="516"/>
      <c r="H48" s="517"/>
      <c r="J48" s="515"/>
      <c r="K48" s="516"/>
      <c r="L48" s="516"/>
      <c r="M48" s="516"/>
      <c r="N48" s="516"/>
      <c r="O48" s="516"/>
      <c r="P48" s="517"/>
    </row>
    <row r="49" spans="2:16" x14ac:dyDescent="0.3">
      <c r="B49" s="515"/>
      <c r="C49" s="516"/>
      <c r="D49" s="516"/>
      <c r="E49" s="516"/>
      <c r="F49" s="516"/>
      <c r="G49" s="516"/>
      <c r="H49" s="517"/>
      <c r="J49" s="515"/>
      <c r="K49" s="516"/>
      <c r="L49" s="516"/>
      <c r="M49" s="516"/>
      <c r="N49" s="516"/>
      <c r="O49" s="516"/>
      <c r="P49" s="517"/>
    </row>
    <row r="50" spans="2:16" x14ac:dyDescent="0.3">
      <c r="B50" s="515"/>
      <c r="C50" s="516"/>
      <c r="D50" s="516"/>
      <c r="E50" s="516"/>
      <c r="F50" s="516"/>
      <c r="G50" s="516"/>
      <c r="H50" s="517"/>
      <c r="J50" s="515"/>
      <c r="K50" s="516"/>
      <c r="L50" s="516"/>
      <c r="M50" s="516"/>
      <c r="N50" s="516"/>
      <c r="O50" s="516"/>
      <c r="P50" s="517"/>
    </row>
    <row r="51" spans="2:16" x14ac:dyDescent="0.3">
      <c r="B51" s="515"/>
      <c r="C51" s="516"/>
      <c r="D51" s="516"/>
      <c r="E51" s="516"/>
      <c r="F51" s="516"/>
      <c r="G51" s="516"/>
      <c r="H51" s="517"/>
      <c r="J51" s="515"/>
      <c r="K51" s="516"/>
      <c r="L51" s="516"/>
      <c r="M51" s="516"/>
      <c r="N51" s="516"/>
      <c r="O51" s="516"/>
      <c r="P51" s="517"/>
    </row>
    <row r="52" spans="2:16" x14ac:dyDescent="0.3">
      <c r="B52" s="518"/>
      <c r="C52" s="519"/>
      <c r="D52" s="519"/>
      <c r="E52" s="519"/>
      <c r="F52" s="519"/>
      <c r="G52" s="519"/>
      <c r="H52" s="520"/>
      <c r="J52" s="518"/>
      <c r="K52" s="519"/>
      <c r="L52" s="519"/>
      <c r="M52" s="519"/>
      <c r="N52" s="519"/>
      <c r="O52" s="519"/>
      <c r="P52" s="520"/>
    </row>
    <row r="53" spans="2:16" s="104" customFormat="1" ht="37.950000000000003" customHeight="1" x14ac:dyDescent="0.25">
      <c r="B53" s="107" t="s">
        <v>629</v>
      </c>
      <c r="C53" s="511" t="str">
        <f>VLOOKUP(B53,'Orçamento Sintético'!A:J,4,0)</f>
        <v>FABRICAÇÃO, MONTAGEM E DESMONTAGEM DE FÔRMA PARA SAPATA, EM MADEIRA SERRADA, E=25 MM, 4 UTILIZAÇÕES. AF_06/2017</v>
      </c>
      <c r="D53" s="511"/>
      <c r="E53" s="511"/>
      <c r="F53" s="511"/>
      <c r="G53" s="511"/>
      <c r="H53" s="511"/>
      <c r="J53" s="107" t="s">
        <v>632</v>
      </c>
      <c r="K53" s="511" t="str">
        <f>VLOOKUP(J53,'Orçamento Sintético'!A:J,4,0)</f>
        <v>ARMAÇÃO DE ESTRUTURAS DIVERSAS DE CONCRETO ARMADO, EXCETO VIGAS, PILARES, LAJES E FUNDAÇÕES, UTILIZANDO AÇO CA-50 DE 12,5 MM - MONTAGEM. AF_06/2022</v>
      </c>
      <c r="L53" s="511"/>
      <c r="M53" s="511"/>
      <c r="N53" s="511"/>
      <c r="O53" s="511"/>
      <c r="P53" s="511"/>
    </row>
    <row r="54" spans="2:16" ht="14.25" customHeight="1" x14ac:dyDescent="0.3"/>
    <row r="55" spans="2:16" x14ac:dyDescent="0.3">
      <c r="B55" s="512"/>
      <c r="C55" s="513"/>
      <c r="D55" s="513"/>
      <c r="E55" s="513"/>
      <c r="F55" s="513"/>
      <c r="G55" s="513"/>
      <c r="H55" s="514"/>
      <c r="J55" s="512"/>
      <c r="K55" s="513"/>
      <c r="L55" s="513"/>
      <c r="M55" s="513"/>
      <c r="N55" s="513"/>
      <c r="O55" s="513"/>
      <c r="P55" s="514"/>
    </row>
    <row r="56" spans="2:16" x14ac:dyDescent="0.3">
      <c r="B56" s="515"/>
      <c r="C56" s="516"/>
      <c r="D56" s="516"/>
      <c r="E56" s="516"/>
      <c r="F56" s="516"/>
      <c r="G56" s="516"/>
      <c r="H56" s="517"/>
      <c r="J56" s="515"/>
      <c r="K56" s="516"/>
      <c r="L56" s="516"/>
      <c r="M56" s="516"/>
      <c r="N56" s="516"/>
      <c r="O56" s="516"/>
      <c r="P56" s="517"/>
    </row>
    <row r="57" spans="2:16" x14ac:dyDescent="0.3">
      <c r="B57" s="515"/>
      <c r="C57" s="516"/>
      <c r="D57" s="516"/>
      <c r="E57" s="516"/>
      <c r="F57" s="516"/>
      <c r="G57" s="516"/>
      <c r="H57" s="517"/>
      <c r="J57" s="515"/>
      <c r="K57" s="516"/>
      <c r="L57" s="516"/>
      <c r="M57" s="516"/>
      <c r="N57" s="516"/>
      <c r="O57" s="516"/>
      <c r="P57" s="517"/>
    </row>
    <row r="58" spans="2:16" x14ac:dyDescent="0.3">
      <c r="B58" s="515"/>
      <c r="C58" s="516"/>
      <c r="D58" s="516"/>
      <c r="E58" s="516"/>
      <c r="F58" s="516"/>
      <c r="G58" s="516"/>
      <c r="H58" s="517"/>
      <c r="J58" s="515"/>
      <c r="K58" s="516"/>
      <c r="L58" s="516"/>
      <c r="M58" s="516"/>
      <c r="N58" s="516"/>
      <c r="O58" s="516"/>
      <c r="P58" s="517"/>
    </row>
    <row r="59" spans="2:16" x14ac:dyDescent="0.3">
      <c r="B59" s="515"/>
      <c r="C59" s="516"/>
      <c r="D59" s="516"/>
      <c r="E59" s="516"/>
      <c r="F59" s="516"/>
      <c r="G59" s="516"/>
      <c r="H59" s="517"/>
      <c r="J59" s="515"/>
      <c r="K59" s="516"/>
      <c r="L59" s="516"/>
      <c r="M59" s="516"/>
      <c r="N59" s="516"/>
      <c r="O59" s="516"/>
      <c r="P59" s="517"/>
    </row>
    <row r="60" spans="2:16" x14ac:dyDescent="0.3">
      <c r="B60" s="515"/>
      <c r="C60" s="516"/>
      <c r="D60" s="516"/>
      <c r="E60" s="516"/>
      <c r="F60" s="516"/>
      <c r="G60" s="516"/>
      <c r="H60" s="517"/>
      <c r="J60" s="515"/>
      <c r="K60" s="516"/>
      <c r="L60" s="516"/>
      <c r="M60" s="516"/>
      <c r="N60" s="516"/>
      <c r="O60" s="516"/>
      <c r="P60" s="517"/>
    </row>
    <row r="61" spans="2:16" x14ac:dyDescent="0.3">
      <c r="B61" s="515"/>
      <c r="C61" s="516"/>
      <c r="D61" s="516"/>
      <c r="E61" s="516"/>
      <c r="F61" s="516"/>
      <c r="G61" s="516"/>
      <c r="H61" s="517"/>
      <c r="J61" s="515"/>
      <c r="K61" s="516"/>
      <c r="L61" s="516"/>
      <c r="M61" s="516"/>
      <c r="N61" s="516"/>
      <c r="O61" s="516"/>
      <c r="P61" s="517"/>
    </row>
    <row r="62" spans="2:16" x14ac:dyDescent="0.3">
      <c r="B62" s="515"/>
      <c r="C62" s="516"/>
      <c r="D62" s="516"/>
      <c r="E62" s="516"/>
      <c r="F62" s="516"/>
      <c r="G62" s="516"/>
      <c r="H62" s="517"/>
      <c r="J62" s="515"/>
      <c r="K62" s="516"/>
      <c r="L62" s="516"/>
      <c r="M62" s="516"/>
      <c r="N62" s="516"/>
      <c r="O62" s="516"/>
      <c r="P62" s="517"/>
    </row>
    <row r="63" spans="2:16" x14ac:dyDescent="0.3">
      <c r="B63" s="515"/>
      <c r="C63" s="516"/>
      <c r="D63" s="516"/>
      <c r="E63" s="516"/>
      <c r="F63" s="516"/>
      <c r="G63" s="516"/>
      <c r="H63" s="517"/>
      <c r="J63" s="515"/>
      <c r="K63" s="516"/>
      <c r="L63" s="516"/>
      <c r="M63" s="516"/>
      <c r="N63" s="516"/>
      <c r="O63" s="516"/>
      <c r="P63" s="517"/>
    </row>
    <row r="64" spans="2:16" x14ac:dyDescent="0.3">
      <c r="B64" s="515"/>
      <c r="C64" s="516"/>
      <c r="D64" s="516"/>
      <c r="E64" s="516"/>
      <c r="F64" s="516"/>
      <c r="G64" s="516"/>
      <c r="H64" s="517"/>
      <c r="J64" s="515"/>
      <c r="K64" s="516"/>
      <c r="L64" s="516"/>
      <c r="M64" s="516"/>
      <c r="N64" s="516"/>
      <c r="O64" s="516"/>
      <c r="P64" s="517"/>
    </row>
    <row r="65" spans="2:32" x14ac:dyDescent="0.3">
      <c r="B65" s="518"/>
      <c r="C65" s="519"/>
      <c r="D65" s="519"/>
      <c r="E65" s="519"/>
      <c r="F65" s="519"/>
      <c r="G65" s="519"/>
      <c r="H65" s="520"/>
      <c r="J65" s="518"/>
      <c r="K65" s="519"/>
      <c r="L65" s="519"/>
      <c r="M65" s="519"/>
      <c r="N65" s="519"/>
      <c r="O65" s="519"/>
      <c r="P65" s="520"/>
    </row>
    <row r="66" spans="2:32" ht="50.25" customHeight="1" x14ac:dyDescent="0.3">
      <c r="B66" s="107" t="s">
        <v>632</v>
      </c>
      <c r="C66" s="511" t="str">
        <f>VLOOKUP(B66,'Orçamento Sintético'!A:J,4,0)</f>
        <v>ARMAÇÃO DE ESTRUTURAS DIVERSAS DE CONCRETO ARMADO, EXCETO VIGAS, PILARES, LAJES E FUNDAÇÕES, UTILIZANDO AÇO CA-50 DE 12,5 MM - MONTAGEM. AF_06/2022</v>
      </c>
      <c r="D66" s="511"/>
      <c r="E66" s="511"/>
      <c r="F66" s="511"/>
      <c r="G66" s="511"/>
      <c r="H66" s="511"/>
      <c r="J66" s="107" t="s">
        <v>633</v>
      </c>
      <c r="K66" s="511" t="str">
        <f>VLOOKUP(J66,'Orçamento Sintético'!A:J,4,0)</f>
        <v>ARMAÇÃO DE ESTRUTURAS DIVERSAS DE CONCRETO ARMADO, EXCETO VIGAS, PILARES, LAJES E FUNDAÇÕES, UTILIZANDO AÇO CA-60 DE 5,0 MM - MONTAGEM. AF_06/2022</v>
      </c>
      <c r="L66" s="511"/>
      <c r="M66" s="511"/>
      <c r="N66" s="511"/>
      <c r="O66" s="511"/>
      <c r="P66" s="511"/>
    </row>
    <row r="67" spans="2:32" ht="12" customHeight="1" x14ac:dyDescent="0.3"/>
    <row r="68" spans="2:32" x14ac:dyDescent="0.3">
      <c r="B68" s="512"/>
      <c r="C68" s="513"/>
      <c r="D68" s="513"/>
      <c r="E68" s="513"/>
      <c r="F68" s="513"/>
      <c r="G68" s="513"/>
      <c r="H68" s="514"/>
      <c r="J68" s="512"/>
      <c r="K68" s="513"/>
      <c r="L68" s="513"/>
      <c r="M68" s="513"/>
      <c r="N68" s="513"/>
      <c r="O68" s="513"/>
      <c r="P68" s="514"/>
    </row>
    <row r="69" spans="2:32" x14ac:dyDescent="0.3">
      <c r="B69" s="515"/>
      <c r="C69" s="516"/>
      <c r="D69" s="516"/>
      <c r="E69" s="516"/>
      <c r="F69" s="516"/>
      <c r="G69" s="516"/>
      <c r="H69" s="517"/>
      <c r="J69" s="515"/>
      <c r="K69" s="516"/>
      <c r="L69" s="516"/>
      <c r="M69" s="516"/>
      <c r="N69" s="516"/>
      <c r="O69" s="516"/>
      <c r="P69" s="517"/>
    </row>
    <row r="70" spans="2:32" x14ac:dyDescent="0.3">
      <c r="B70" s="515"/>
      <c r="C70" s="516"/>
      <c r="D70" s="516"/>
      <c r="E70" s="516"/>
      <c r="F70" s="516"/>
      <c r="G70" s="516"/>
      <c r="H70" s="517"/>
      <c r="J70" s="515"/>
      <c r="K70" s="516"/>
      <c r="L70" s="516"/>
      <c r="M70" s="516"/>
      <c r="N70" s="516"/>
      <c r="O70" s="516"/>
      <c r="P70" s="517"/>
      <c r="Z70" s="511"/>
      <c r="AA70" s="511"/>
      <c r="AB70" s="511"/>
      <c r="AC70" s="511"/>
      <c r="AD70" s="511"/>
      <c r="AE70" s="511"/>
      <c r="AF70" s="511"/>
    </row>
    <row r="71" spans="2:32" x14ac:dyDescent="0.3">
      <c r="B71" s="515"/>
      <c r="C71" s="516"/>
      <c r="D71" s="516"/>
      <c r="E71" s="516"/>
      <c r="F71" s="516"/>
      <c r="G71" s="516"/>
      <c r="H71" s="517"/>
      <c r="J71" s="515"/>
      <c r="K71" s="516"/>
      <c r="L71" s="516"/>
      <c r="M71" s="516"/>
      <c r="N71" s="516"/>
      <c r="O71" s="516"/>
      <c r="P71" s="517"/>
    </row>
    <row r="72" spans="2:32" x14ac:dyDescent="0.3">
      <c r="B72" s="515"/>
      <c r="C72" s="516"/>
      <c r="D72" s="516"/>
      <c r="E72" s="516"/>
      <c r="F72" s="516"/>
      <c r="G72" s="516"/>
      <c r="H72" s="517"/>
      <c r="J72" s="515"/>
      <c r="K72" s="516"/>
      <c r="L72" s="516"/>
      <c r="M72" s="516"/>
      <c r="N72" s="516"/>
      <c r="O72" s="516"/>
      <c r="P72" s="517"/>
    </row>
    <row r="73" spans="2:32" x14ac:dyDescent="0.3">
      <c r="B73" s="515"/>
      <c r="C73" s="516"/>
      <c r="D73" s="516"/>
      <c r="E73" s="516"/>
      <c r="F73" s="516"/>
      <c r="G73" s="516"/>
      <c r="H73" s="517"/>
      <c r="J73" s="515"/>
      <c r="K73" s="516"/>
      <c r="L73" s="516"/>
      <c r="M73" s="516"/>
      <c r="N73" s="516"/>
      <c r="O73" s="516"/>
      <c r="P73" s="517"/>
    </row>
    <row r="74" spans="2:32" x14ac:dyDescent="0.3">
      <c r="B74" s="515"/>
      <c r="C74" s="516"/>
      <c r="D74" s="516"/>
      <c r="E74" s="516"/>
      <c r="F74" s="516"/>
      <c r="G74" s="516"/>
      <c r="H74" s="517"/>
      <c r="J74" s="515"/>
      <c r="K74" s="516"/>
      <c r="L74" s="516"/>
      <c r="M74" s="516"/>
      <c r="N74" s="516"/>
      <c r="O74" s="516"/>
      <c r="P74" s="517"/>
    </row>
    <row r="75" spans="2:32" x14ac:dyDescent="0.3">
      <c r="B75" s="515"/>
      <c r="C75" s="516"/>
      <c r="D75" s="516"/>
      <c r="E75" s="516"/>
      <c r="F75" s="516"/>
      <c r="G75" s="516"/>
      <c r="H75" s="517"/>
      <c r="J75" s="515"/>
      <c r="K75" s="516"/>
      <c r="L75" s="516"/>
      <c r="M75" s="516"/>
      <c r="N75" s="516"/>
      <c r="O75" s="516"/>
      <c r="P75" s="517"/>
    </row>
    <row r="76" spans="2:32" x14ac:dyDescent="0.3">
      <c r="B76" s="515"/>
      <c r="C76" s="516"/>
      <c r="D76" s="516"/>
      <c r="E76" s="516"/>
      <c r="F76" s="516"/>
      <c r="G76" s="516"/>
      <c r="H76" s="517"/>
      <c r="J76" s="515"/>
      <c r="K76" s="516"/>
      <c r="L76" s="516"/>
      <c r="M76" s="516"/>
      <c r="N76" s="516"/>
      <c r="O76" s="516"/>
      <c r="P76" s="517"/>
    </row>
    <row r="77" spans="2:32" x14ac:dyDescent="0.3">
      <c r="B77" s="515"/>
      <c r="C77" s="516"/>
      <c r="D77" s="516"/>
      <c r="E77" s="516"/>
      <c r="F77" s="516"/>
      <c r="G77" s="516"/>
      <c r="H77" s="517"/>
      <c r="J77" s="515"/>
      <c r="K77" s="516"/>
      <c r="L77" s="516"/>
      <c r="M77" s="516"/>
      <c r="N77" s="516"/>
      <c r="O77" s="516"/>
      <c r="P77" s="517"/>
    </row>
    <row r="78" spans="2:32" x14ac:dyDescent="0.3">
      <c r="B78" s="518"/>
      <c r="C78" s="519"/>
      <c r="D78" s="519"/>
      <c r="E78" s="519"/>
      <c r="F78" s="519"/>
      <c r="G78" s="519"/>
      <c r="H78" s="520"/>
      <c r="J78" s="518"/>
      <c r="K78" s="519"/>
      <c r="L78" s="519"/>
      <c r="M78" s="519"/>
      <c r="N78" s="519"/>
      <c r="O78" s="519"/>
      <c r="P78" s="520"/>
    </row>
    <row r="79" spans="2:32" ht="36" customHeight="1" x14ac:dyDescent="0.3">
      <c r="B79" s="107" t="s">
        <v>634</v>
      </c>
      <c r="C79" s="511" t="str">
        <f>VLOOKUP(B79,'Orçamento Sintético'!A:J,4,0)</f>
        <v>CONCRETAGEM DE SAPATAS, FCK 30 MPA, COM USO DE BOMBA  LANÇAMENTO, ADENSAMENTO E ACABAMENTO. AF_11/2016</v>
      </c>
      <c r="D79" s="511"/>
      <c r="E79" s="511"/>
      <c r="F79" s="511"/>
      <c r="G79" s="511"/>
      <c r="H79" s="511"/>
      <c r="J79" s="107" t="s">
        <v>635</v>
      </c>
      <c r="K79" s="511" t="str">
        <f>VLOOKUP(J79,'Orçamento Sintético'!A:J,4,0)</f>
        <v>FABRICAÇÃO, MONTAGEM E DESMONTAGEM DE FÔRMA PARA VIGA BALDRAME, EM MADEIRA SERRADA, E=25 MM, 4 UTILIZAÇÕES. AF_06/2017</v>
      </c>
      <c r="L79" s="511"/>
      <c r="M79" s="511"/>
      <c r="N79" s="511"/>
      <c r="O79" s="511"/>
      <c r="P79" s="511"/>
    </row>
    <row r="80" spans="2:32" ht="15.75" customHeight="1" x14ac:dyDescent="0.3"/>
    <row r="81" spans="2:16" x14ac:dyDescent="0.3">
      <c r="B81" s="512"/>
      <c r="C81" s="513"/>
      <c r="D81" s="513"/>
      <c r="E81" s="513"/>
      <c r="F81" s="513"/>
      <c r="G81" s="513"/>
      <c r="H81" s="514"/>
      <c r="J81" s="512"/>
      <c r="K81" s="513"/>
      <c r="L81" s="513"/>
      <c r="M81" s="513"/>
      <c r="N81" s="513"/>
      <c r="O81" s="513"/>
      <c r="P81" s="514"/>
    </row>
    <row r="82" spans="2:16" x14ac:dyDescent="0.3">
      <c r="B82" s="515"/>
      <c r="C82" s="516"/>
      <c r="D82" s="516"/>
      <c r="E82" s="516"/>
      <c r="F82" s="516"/>
      <c r="G82" s="516"/>
      <c r="H82" s="517"/>
      <c r="J82" s="515"/>
      <c r="K82" s="516"/>
      <c r="L82" s="516"/>
      <c r="M82" s="516"/>
      <c r="N82" s="516"/>
      <c r="O82" s="516"/>
      <c r="P82" s="517"/>
    </row>
    <row r="83" spans="2:16" x14ac:dyDescent="0.3">
      <c r="B83" s="515"/>
      <c r="C83" s="516"/>
      <c r="D83" s="516"/>
      <c r="E83" s="516"/>
      <c r="F83" s="516"/>
      <c r="G83" s="516"/>
      <c r="H83" s="517"/>
      <c r="J83" s="515"/>
      <c r="K83" s="516"/>
      <c r="L83" s="516"/>
      <c r="M83" s="516"/>
      <c r="N83" s="516"/>
      <c r="O83" s="516"/>
      <c r="P83" s="517"/>
    </row>
    <row r="84" spans="2:16" x14ac:dyDescent="0.3">
      <c r="B84" s="515"/>
      <c r="C84" s="516"/>
      <c r="D84" s="516"/>
      <c r="E84" s="516"/>
      <c r="F84" s="516"/>
      <c r="G84" s="516"/>
      <c r="H84" s="517"/>
      <c r="J84" s="515"/>
      <c r="K84" s="516"/>
      <c r="L84" s="516"/>
      <c r="M84" s="516"/>
      <c r="N84" s="516"/>
      <c r="O84" s="516"/>
      <c r="P84" s="517"/>
    </row>
    <row r="85" spans="2:16" x14ac:dyDescent="0.3">
      <c r="B85" s="515"/>
      <c r="C85" s="516"/>
      <c r="D85" s="516"/>
      <c r="E85" s="516"/>
      <c r="F85" s="516"/>
      <c r="G85" s="516"/>
      <c r="H85" s="517"/>
      <c r="J85" s="515"/>
      <c r="K85" s="516"/>
      <c r="L85" s="516"/>
      <c r="M85" s="516"/>
      <c r="N85" s="516"/>
      <c r="O85" s="516"/>
      <c r="P85" s="517"/>
    </row>
    <row r="86" spans="2:16" x14ac:dyDescent="0.3">
      <c r="B86" s="515"/>
      <c r="C86" s="516"/>
      <c r="D86" s="516"/>
      <c r="E86" s="516"/>
      <c r="F86" s="516"/>
      <c r="G86" s="516"/>
      <c r="H86" s="517"/>
      <c r="J86" s="515"/>
      <c r="K86" s="516"/>
      <c r="L86" s="516"/>
      <c r="M86" s="516"/>
      <c r="N86" s="516"/>
      <c r="O86" s="516"/>
      <c r="P86" s="517"/>
    </row>
    <row r="87" spans="2:16" x14ac:dyDescent="0.3">
      <c r="B87" s="515"/>
      <c r="C87" s="516"/>
      <c r="D87" s="516"/>
      <c r="E87" s="516"/>
      <c r="F87" s="516"/>
      <c r="G87" s="516"/>
      <c r="H87" s="517"/>
      <c r="J87" s="515"/>
      <c r="K87" s="516"/>
      <c r="L87" s="516"/>
      <c r="M87" s="516"/>
      <c r="N87" s="516"/>
      <c r="O87" s="516"/>
      <c r="P87" s="517"/>
    </row>
    <row r="88" spans="2:16" x14ac:dyDescent="0.3">
      <c r="B88" s="515"/>
      <c r="C88" s="516"/>
      <c r="D88" s="516"/>
      <c r="E88" s="516"/>
      <c r="F88" s="516"/>
      <c r="G88" s="516"/>
      <c r="H88" s="517"/>
      <c r="J88" s="515"/>
      <c r="K88" s="516"/>
      <c r="L88" s="516"/>
      <c r="M88" s="516"/>
      <c r="N88" s="516"/>
      <c r="O88" s="516"/>
      <c r="P88" s="517"/>
    </row>
    <row r="89" spans="2:16" x14ac:dyDescent="0.3">
      <c r="B89" s="515"/>
      <c r="C89" s="516"/>
      <c r="D89" s="516"/>
      <c r="E89" s="516"/>
      <c r="F89" s="516"/>
      <c r="G89" s="516"/>
      <c r="H89" s="517"/>
      <c r="J89" s="515"/>
      <c r="K89" s="516"/>
      <c r="L89" s="516"/>
      <c r="M89" s="516"/>
      <c r="N89" s="516"/>
      <c r="O89" s="516"/>
      <c r="P89" s="517"/>
    </row>
    <row r="90" spans="2:16" x14ac:dyDescent="0.3">
      <c r="B90" s="515"/>
      <c r="C90" s="516"/>
      <c r="D90" s="516"/>
      <c r="E90" s="516"/>
      <c r="F90" s="516"/>
      <c r="G90" s="516"/>
      <c r="H90" s="517"/>
      <c r="J90" s="515"/>
      <c r="K90" s="516"/>
      <c r="L90" s="516"/>
      <c r="M90" s="516"/>
      <c r="N90" s="516"/>
      <c r="O90" s="516"/>
      <c r="P90" s="517"/>
    </row>
    <row r="91" spans="2:16" x14ac:dyDescent="0.3">
      <c r="B91" s="518"/>
      <c r="C91" s="519"/>
      <c r="D91" s="519"/>
      <c r="E91" s="519"/>
      <c r="F91" s="519"/>
      <c r="G91" s="519"/>
      <c r="H91" s="520"/>
      <c r="J91" s="518"/>
      <c r="K91" s="519"/>
      <c r="L91" s="519"/>
      <c r="M91" s="519"/>
      <c r="N91" s="519"/>
      <c r="O91" s="519"/>
      <c r="P91" s="520"/>
    </row>
    <row r="92" spans="2:16" ht="43.95" customHeight="1" x14ac:dyDescent="0.3">
      <c r="B92" s="107" t="s">
        <v>641</v>
      </c>
      <c r="C92" s="511" t="str">
        <f>VLOOKUP(B92,'Orçamento Sintético'!A:J,4,0)</f>
        <v>ARMAÇÃO DE ESTRUTURAS DIVERSAS DE CONCRETO ARMADO, EXCETO VIGAS, PILARES, LAJES E FUNDAÇÕES, UTILIZANDO AÇO CA-50 DE 8,0 MM - MONTAGEM. AF_06/2022</v>
      </c>
      <c r="D92" s="511"/>
      <c r="E92" s="511"/>
      <c r="F92" s="511"/>
      <c r="G92" s="511"/>
      <c r="H92" s="511"/>
      <c r="J92" s="107" t="s">
        <v>642</v>
      </c>
      <c r="K92" s="511" t="str">
        <f>VLOOKUP(J92,'Orçamento Sintético'!A:J,4,0)</f>
        <v>ARMAÇÃO DE ESTRUTURAS DIVERSAS DE CONCRETO ARMADO, EXCETO VIGAS, PILARES, LAJES E FUNDAÇÕES, UTILIZANDO AÇO CA-50 DE 10,0 MM - MONTAGEM. AF_06/2022</v>
      </c>
      <c r="L92" s="511"/>
      <c r="M92" s="511"/>
      <c r="N92" s="511"/>
      <c r="O92" s="511"/>
      <c r="P92" s="511"/>
    </row>
    <row r="94" spans="2:16" x14ac:dyDescent="0.3">
      <c r="B94" s="512"/>
      <c r="C94" s="513"/>
      <c r="D94" s="513"/>
      <c r="E94" s="513"/>
      <c r="F94" s="513"/>
      <c r="G94" s="513"/>
      <c r="H94" s="514"/>
      <c r="J94" s="512"/>
      <c r="K94" s="513"/>
      <c r="L94" s="513"/>
      <c r="M94" s="513"/>
      <c r="N94" s="513"/>
      <c r="O94" s="513"/>
      <c r="P94" s="514"/>
    </row>
    <row r="95" spans="2:16" x14ac:dyDescent="0.3">
      <c r="B95" s="515"/>
      <c r="C95" s="516"/>
      <c r="D95" s="516"/>
      <c r="E95" s="516"/>
      <c r="F95" s="516"/>
      <c r="G95" s="516"/>
      <c r="H95" s="517"/>
      <c r="J95" s="515"/>
      <c r="K95" s="516"/>
      <c r="L95" s="516"/>
      <c r="M95" s="516"/>
      <c r="N95" s="516"/>
      <c r="O95" s="516"/>
      <c r="P95" s="517"/>
    </row>
    <row r="96" spans="2:16" x14ac:dyDescent="0.3">
      <c r="B96" s="515"/>
      <c r="C96" s="516"/>
      <c r="D96" s="516"/>
      <c r="E96" s="516"/>
      <c r="F96" s="516"/>
      <c r="G96" s="516"/>
      <c r="H96" s="517"/>
      <c r="J96" s="515"/>
      <c r="K96" s="516"/>
      <c r="L96" s="516"/>
      <c r="M96" s="516"/>
      <c r="N96" s="516"/>
      <c r="O96" s="516"/>
      <c r="P96" s="517"/>
    </row>
    <row r="97" spans="2:16" x14ac:dyDescent="0.3">
      <c r="B97" s="515"/>
      <c r="C97" s="516"/>
      <c r="D97" s="516"/>
      <c r="E97" s="516"/>
      <c r="F97" s="516"/>
      <c r="G97" s="516"/>
      <c r="H97" s="517"/>
      <c r="J97" s="515"/>
      <c r="K97" s="516"/>
      <c r="L97" s="516"/>
      <c r="M97" s="516"/>
      <c r="N97" s="516"/>
      <c r="O97" s="516"/>
      <c r="P97" s="517"/>
    </row>
    <row r="98" spans="2:16" x14ac:dyDescent="0.3">
      <c r="B98" s="515"/>
      <c r="C98" s="516"/>
      <c r="D98" s="516"/>
      <c r="E98" s="516"/>
      <c r="F98" s="516"/>
      <c r="G98" s="516"/>
      <c r="H98" s="517"/>
      <c r="J98" s="515"/>
      <c r="K98" s="516"/>
      <c r="L98" s="516"/>
      <c r="M98" s="516"/>
      <c r="N98" s="516"/>
      <c r="O98" s="516"/>
      <c r="P98" s="517"/>
    </row>
    <row r="99" spans="2:16" x14ac:dyDescent="0.3">
      <c r="B99" s="515"/>
      <c r="C99" s="516"/>
      <c r="D99" s="516"/>
      <c r="E99" s="516"/>
      <c r="F99" s="516"/>
      <c r="G99" s="516"/>
      <c r="H99" s="517"/>
      <c r="J99" s="515"/>
      <c r="K99" s="516"/>
      <c r="L99" s="516"/>
      <c r="M99" s="516"/>
      <c r="N99" s="516"/>
      <c r="O99" s="516"/>
      <c r="P99" s="517"/>
    </row>
    <row r="100" spans="2:16" x14ac:dyDescent="0.3">
      <c r="B100" s="515"/>
      <c r="C100" s="516"/>
      <c r="D100" s="516"/>
      <c r="E100" s="516"/>
      <c r="F100" s="516"/>
      <c r="G100" s="516"/>
      <c r="H100" s="517"/>
      <c r="J100" s="515"/>
      <c r="K100" s="516"/>
      <c r="L100" s="516"/>
      <c r="M100" s="516"/>
      <c r="N100" s="516"/>
      <c r="O100" s="516"/>
      <c r="P100" s="517"/>
    </row>
    <row r="101" spans="2:16" x14ac:dyDescent="0.3">
      <c r="B101" s="515"/>
      <c r="C101" s="516"/>
      <c r="D101" s="516"/>
      <c r="E101" s="516"/>
      <c r="F101" s="516"/>
      <c r="G101" s="516"/>
      <c r="H101" s="517"/>
      <c r="J101" s="515"/>
      <c r="K101" s="516"/>
      <c r="L101" s="516"/>
      <c r="M101" s="516"/>
      <c r="N101" s="516"/>
      <c r="O101" s="516"/>
      <c r="P101" s="517"/>
    </row>
    <row r="102" spans="2:16" x14ac:dyDescent="0.3">
      <c r="B102" s="515"/>
      <c r="C102" s="516"/>
      <c r="D102" s="516"/>
      <c r="E102" s="516"/>
      <c r="F102" s="516"/>
      <c r="G102" s="516"/>
      <c r="H102" s="517"/>
      <c r="J102" s="515"/>
      <c r="K102" s="516"/>
      <c r="L102" s="516"/>
      <c r="M102" s="516"/>
      <c r="N102" s="516"/>
      <c r="O102" s="516"/>
      <c r="P102" s="517"/>
    </row>
    <row r="103" spans="2:16" x14ac:dyDescent="0.3">
      <c r="B103" s="515"/>
      <c r="C103" s="516"/>
      <c r="D103" s="516"/>
      <c r="E103" s="516"/>
      <c r="F103" s="516"/>
      <c r="G103" s="516"/>
      <c r="H103" s="517"/>
      <c r="J103" s="515"/>
      <c r="K103" s="516"/>
      <c r="L103" s="516"/>
      <c r="M103" s="516"/>
      <c r="N103" s="516"/>
      <c r="O103" s="516"/>
      <c r="P103" s="517"/>
    </row>
    <row r="104" spans="2:16" x14ac:dyDescent="0.3">
      <c r="B104" s="518"/>
      <c r="C104" s="519"/>
      <c r="D104" s="519"/>
      <c r="E104" s="519"/>
      <c r="F104" s="519"/>
      <c r="G104" s="519"/>
      <c r="H104" s="520"/>
      <c r="J104" s="518"/>
      <c r="K104" s="519"/>
      <c r="L104" s="519"/>
      <c r="M104" s="519"/>
      <c r="N104" s="519"/>
      <c r="O104" s="519"/>
      <c r="P104" s="520"/>
    </row>
    <row r="105" spans="2:16" ht="51.6" customHeight="1" x14ac:dyDescent="0.3">
      <c r="B105" s="107" t="s">
        <v>643</v>
      </c>
      <c r="C105" s="511" t="str">
        <f>VLOOKUP(B105,'Orçamento Sintético'!A:J,4,0)</f>
        <v>ARMAÇÃO DE ESTRUTURAS DIVERSAS DE CONCRETO ARMADO, EXCETO VIGAS, PILARES, LAJES E FUNDAÇÕES, UTILIZANDO AÇO CA-60 DE 5,0 MM - MONTAGEM. AF_06/2022</v>
      </c>
      <c r="D105" s="511"/>
      <c r="E105" s="511"/>
      <c r="F105" s="511"/>
      <c r="G105" s="511"/>
      <c r="H105" s="511"/>
      <c r="J105" s="107" t="s">
        <v>644</v>
      </c>
      <c r="K105" s="511" t="str">
        <f>VLOOKUP(J105,'Orçamento Sintético'!A:J,4,0)</f>
        <v>CONCRETAGEM DE BLOCOS DE COROAMENTO E VIGAS BALDRAMES, FCK 30 MPA, COM USO DE BOMBA  LANÇAMENTO, ADENSAMENTO E ACABAMENTO. AF_06/2017</v>
      </c>
      <c r="L105" s="511"/>
      <c r="M105" s="511"/>
      <c r="N105" s="511"/>
      <c r="O105" s="511"/>
      <c r="P105" s="511"/>
    </row>
    <row r="107" spans="2:16" x14ac:dyDescent="0.3">
      <c r="B107" s="512"/>
      <c r="C107" s="513"/>
      <c r="D107" s="513"/>
      <c r="E107" s="513"/>
      <c r="F107" s="513"/>
      <c r="G107" s="513"/>
      <c r="H107" s="514"/>
      <c r="J107" s="512"/>
      <c r="K107" s="513"/>
      <c r="L107" s="513"/>
      <c r="M107" s="513"/>
      <c r="N107" s="513"/>
      <c r="O107" s="513"/>
      <c r="P107" s="514"/>
    </row>
    <row r="108" spans="2:16" x14ac:dyDescent="0.3">
      <c r="B108" s="515"/>
      <c r="C108" s="516"/>
      <c r="D108" s="516"/>
      <c r="E108" s="516"/>
      <c r="F108" s="516"/>
      <c r="G108" s="516"/>
      <c r="H108" s="517"/>
      <c r="J108" s="515"/>
      <c r="K108" s="516"/>
      <c r="L108" s="516"/>
      <c r="M108" s="516"/>
      <c r="N108" s="516"/>
      <c r="O108" s="516"/>
      <c r="P108" s="517"/>
    </row>
    <row r="109" spans="2:16" x14ac:dyDescent="0.3">
      <c r="B109" s="515"/>
      <c r="C109" s="516"/>
      <c r="D109" s="516"/>
      <c r="E109" s="516"/>
      <c r="F109" s="516"/>
      <c r="G109" s="516"/>
      <c r="H109" s="517"/>
      <c r="J109" s="515"/>
      <c r="K109" s="516"/>
      <c r="L109" s="516"/>
      <c r="M109" s="516"/>
      <c r="N109" s="516"/>
      <c r="O109" s="516"/>
      <c r="P109" s="517"/>
    </row>
    <row r="110" spans="2:16" x14ac:dyDescent="0.3">
      <c r="B110" s="515"/>
      <c r="C110" s="516"/>
      <c r="D110" s="516"/>
      <c r="E110" s="516"/>
      <c r="F110" s="516"/>
      <c r="G110" s="516"/>
      <c r="H110" s="517"/>
      <c r="J110" s="515"/>
      <c r="K110" s="516"/>
      <c r="L110" s="516"/>
      <c r="M110" s="516"/>
      <c r="N110" s="516"/>
      <c r="O110" s="516"/>
      <c r="P110" s="517"/>
    </row>
    <row r="111" spans="2:16" x14ac:dyDescent="0.3">
      <c r="B111" s="515"/>
      <c r="C111" s="516"/>
      <c r="D111" s="516"/>
      <c r="E111" s="516"/>
      <c r="F111" s="516"/>
      <c r="G111" s="516"/>
      <c r="H111" s="517"/>
      <c r="J111" s="515"/>
      <c r="K111" s="516"/>
      <c r="L111" s="516"/>
      <c r="M111" s="516"/>
      <c r="N111" s="516"/>
      <c r="O111" s="516"/>
      <c r="P111" s="517"/>
    </row>
    <row r="112" spans="2:16" x14ac:dyDescent="0.3">
      <c r="B112" s="515"/>
      <c r="C112" s="516"/>
      <c r="D112" s="516"/>
      <c r="E112" s="516"/>
      <c r="F112" s="516"/>
      <c r="G112" s="516"/>
      <c r="H112" s="517"/>
      <c r="J112" s="515"/>
      <c r="K112" s="516"/>
      <c r="L112" s="516"/>
      <c r="M112" s="516"/>
      <c r="N112" s="516"/>
      <c r="O112" s="516"/>
      <c r="P112" s="517"/>
    </row>
    <row r="113" spans="2:16" x14ac:dyDescent="0.3">
      <c r="B113" s="515"/>
      <c r="C113" s="516"/>
      <c r="D113" s="516"/>
      <c r="E113" s="516"/>
      <c r="F113" s="516"/>
      <c r="G113" s="516"/>
      <c r="H113" s="517"/>
      <c r="J113" s="515"/>
      <c r="K113" s="516"/>
      <c r="L113" s="516"/>
      <c r="M113" s="516"/>
      <c r="N113" s="516"/>
      <c r="O113" s="516"/>
      <c r="P113" s="517"/>
    </row>
    <row r="114" spans="2:16" x14ac:dyDescent="0.3">
      <c r="B114" s="515"/>
      <c r="C114" s="516"/>
      <c r="D114" s="516"/>
      <c r="E114" s="516"/>
      <c r="F114" s="516"/>
      <c r="G114" s="516"/>
      <c r="H114" s="517"/>
      <c r="J114" s="515"/>
      <c r="K114" s="516"/>
      <c r="L114" s="516"/>
      <c r="M114" s="516"/>
      <c r="N114" s="516"/>
      <c r="O114" s="516"/>
      <c r="P114" s="517"/>
    </row>
    <row r="115" spans="2:16" x14ac:dyDescent="0.3">
      <c r="B115" s="515"/>
      <c r="C115" s="516"/>
      <c r="D115" s="516"/>
      <c r="E115" s="516"/>
      <c r="F115" s="516"/>
      <c r="G115" s="516"/>
      <c r="H115" s="517"/>
      <c r="J115" s="515"/>
      <c r="K115" s="516"/>
      <c r="L115" s="516"/>
      <c r="M115" s="516"/>
      <c r="N115" s="516"/>
      <c r="O115" s="516"/>
      <c r="P115" s="517"/>
    </row>
    <row r="116" spans="2:16" x14ac:dyDescent="0.3">
      <c r="B116" s="515"/>
      <c r="C116" s="516"/>
      <c r="D116" s="516"/>
      <c r="E116" s="516"/>
      <c r="F116" s="516"/>
      <c r="G116" s="516"/>
      <c r="H116" s="517"/>
      <c r="J116" s="515"/>
      <c r="K116" s="516"/>
      <c r="L116" s="516"/>
      <c r="M116" s="516"/>
      <c r="N116" s="516"/>
      <c r="O116" s="516"/>
      <c r="P116" s="517"/>
    </row>
    <row r="117" spans="2:16" x14ac:dyDescent="0.3">
      <c r="B117" s="518"/>
      <c r="C117" s="519"/>
      <c r="D117" s="519"/>
      <c r="E117" s="519"/>
      <c r="F117" s="519"/>
      <c r="G117" s="519"/>
      <c r="H117" s="520"/>
      <c r="J117" s="518"/>
      <c r="K117" s="519"/>
      <c r="L117" s="519"/>
      <c r="M117" s="519"/>
      <c r="N117" s="519"/>
      <c r="O117" s="519"/>
      <c r="P117" s="520"/>
    </row>
    <row r="118" spans="2:16" ht="49.95" customHeight="1" x14ac:dyDescent="0.3">
      <c r="B118" s="107" t="s">
        <v>655</v>
      </c>
      <c r="C118" s="511" t="str">
        <f>VLOOKUP(B118,'Orçamento Sintético'!A:J,4,0)</f>
        <v>MONTAGEM E DESMONTAGEM DE FÔRMA DE PILARES RETANGULARES E ESTRUTURAS SIMILARES, PÉ-DIREITO SIMPLES, EM CHAPA DE MADEIRA COMPENSADA PLASTIFICADA, 12 UTILIZAÇÕES. AF_09/2020</v>
      </c>
      <c r="D118" s="511"/>
      <c r="E118" s="511"/>
      <c r="F118" s="511"/>
      <c r="G118" s="511"/>
      <c r="H118" s="511"/>
      <c r="J118" s="107" t="s">
        <v>656</v>
      </c>
      <c r="K118" s="511" t="str">
        <f>VLOOKUP(J118,'Orçamento Sintético'!A:J,4,0)</f>
        <v>ARMAÇÃO DE ESTRUTURAS DIVERSAS DE CONCRETO ARMADO, EXCETO VIGAS, PILARES, LAJES E FUNDAÇÕES, UTILIZANDO AÇO CA-50 DE 10,0 MM - MONTAGEM. AF_06/2022</v>
      </c>
      <c r="L118" s="511"/>
      <c r="M118" s="511"/>
      <c r="N118" s="511"/>
      <c r="O118" s="511"/>
      <c r="P118" s="511"/>
    </row>
    <row r="119" spans="2:16" ht="4.5" customHeight="1" x14ac:dyDescent="0.3">
      <c r="B119" s="107"/>
      <c r="C119" s="248"/>
      <c r="D119" s="248"/>
      <c r="E119" s="248"/>
      <c r="F119" s="248"/>
      <c r="G119" s="248"/>
      <c r="H119" s="248"/>
      <c r="J119" s="107"/>
      <c r="K119" s="248"/>
      <c r="L119" s="248"/>
      <c r="M119" s="248"/>
      <c r="N119" s="248"/>
      <c r="O119" s="248"/>
      <c r="P119" s="248"/>
    </row>
    <row r="120" spans="2:16" x14ac:dyDescent="0.3">
      <c r="B120" s="512"/>
      <c r="C120" s="513"/>
      <c r="D120" s="513"/>
      <c r="E120" s="513"/>
      <c r="F120" s="513"/>
      <c r="G120" s="513"/>
      <c r="H120" s="514"/>
      <c r="J120" s="512"/>
      <c r="K120" s="513"/>
      <c r="L120" s="513"/>
      <c r="M120" s="513"/>
      <c r="N120" s="513"/>
      <c r="O120" s="513"/>
      <c r="P120" s="514"/>
    </row>
    <row r="121" spans="2:16" x14ac:dyDescent="0.3">
      <c r="B121" s="515"/>
      <c r="C121" s="516"/>
      <c r="D121" s="516"/>
      <c r="E121" s="516"/>
      <c r="F121" s="516"/>
      <c r="G121" s="516"/>
      <c r="H121" s="517"/>
      <c r="J121" s="515"/>
      <c r="K121" s="516"/>
      <c r="L121" s="516"/>
      <c r="M121" s="516"/>
      <c r="N121" s="516"/>
      <c r="O121" s="516"/>
      <c r="P121" s="517"/>
    </row>
    <row r="122" spans="2:16" x14ac:dyDescent="0.3">
      <c r="B122" s="515"/>
      <c r="C122" s="516"/>
      <c r="D122" s="516"/>
      <c r="E122" s="516"/>
      <c r="F122" s="516"/>
      <c r="G122" s="516"/>
      <c r="H122" s="517"/>
      <c r="J122" s="515"/>
      <c r="K122" s="516"/>
      <c r="L122" s="516"/>
      <c r="M122" s="516"/>
      <c r="N122" s="516"/>
      <c r="O122" s="516"/>
      <c r="P122" s="517"/>
    </row>
    <row r="123" spans="2:16" x14ac:dyDescent="0.3">
      <c r="B123" s="515"/>
      <c r="C123" s="516"/>
      <c r="D123" s="516"/>
      <c r="E123" s="516"/>
      <c r="F123" s="516"/>
      <c r="G123" s="516"/>
      <c r="H123" s="517"/>
      <c r="J123" s="515"/>
      <c r="K123" s="516"/>
      <c r="L123" s="516"/>
      <c r="M123" s="516"/>
      <c r="N123" s="516"/>
      <c r="O123" s="516"/>
      <c r="P123" s="517"/>
    </row>
    <row r="124" spans="2:16" x14ac:dyDescent="0.3">
      <c r="B124" s="515"/>
      <c r="C124" s="516"/>
      <c r="D124" s="516"/>
      <c r="E124" s="516"/>
      <c r="F124" s="516"/>
      <c r="G124" s="516"/>
      <c r="H124" s="517"/>
      <c r="J124" s="515"/>
      <c r="K124" s="516"/>
      <c r="L124" s="516"/>
      <c r="M124" s="516"/>
      <c r="N124" s="516"/>
      <c r="O124" s="516"/>
      <c r="P124" s="517"/>
    </row>
    <row r="125" spans="2:16" x14ac:dyDescent="0.3">
      <c r="B125" s="515"/>
      <c r="C125" s="516"/>
      <c r="D125" s="516"/>
      <c r="E125" s="516"/>
      <c r="F125" s="516"/>
      <c r="G125" s="516"/>
      <c r="H125" s="517"/>
      <c r="J125" s="515"/>
      <c r="K125" s="516"/>
      <c r="L125" s="516"/>
      <c r="M125" s="516"/>
      <c r="N125" s="516"/>
      <c r="O125" s="516"/>
      <c r="P125" s="517"/>
    </row>
    <row r="126" spans="2:16" x14ac:dyDescent="0.3">
      <c r="B126" s="515"/>
      <c r="C126" s="516"/>
      <c r="D126" s="516"/>
      <c r="E126" s="516"/>
      <c r="F126" s="516"/>
      <c r="G126" s="516"/>
      <c r="H126" s="517"/>
      <c r="J126" s="515"/>
      <c r="K126" s="516"/>
      <c r="L126" s="516"/>
      <c r="M126" s="516"/>
      <c r="N126" s="516"/>
      <c r="O126" s="516"/>
      <c r="P126" s="517"/>
    </row>
    <row r="127" spans="2:16" x14ac:dyDescent="0.3">
      <c r="B127" s="515"/>
      <c r="C127" s="516"/>
      <c r="D127" s="516"/>
      <c r="E127" s="516"/>
      <c r="F127" s="516"/>
      <c r="G127" s="516"/>
      <c r="H127" s="517"/>
      <c r="J127" s="515"/>
      <c r="K127" s="516"/>
      <c r="L127" s="516"/>
      <c r="M127" s="516"/>
      <c r="N127" s="516"/>
      <c r="O127" s="516"/>
      <c r="P127" s="517"/>
    </row>
    <row r="128" spans="2:16" x14ac:dyDescent="0.3">
      <c r="B128" s="515"/>
      <c r="C128" s="516"/>
      <c r="D128" s="516"/>
      <c r="E128" s="516"/>
      <c r="F128" s="516"/>
      <c r="G128" s="516"/>
      <c r="H128" s="517"/>
      <c r="J128" s="515"/>
      <c r="K128" s="516"/>
      <c r="L128" s="516"/>
      <c r="M128" s="516"/>
      <c r="N128" s="516"/>
      <c r="O128" s="516"/>
      <c r="P128" s="517"/>
    </row>
    <row r="129" spans="2:16" x14ac:dyDescent="0.3">
      <c r="B129" s="515"/>
      <c r="C129" s="516"/>
      <c r="D129" s="516"/>
      <c r="E129" s="516"/>
      <c r="F129" s="516"/>
      <c r="G129" s="516"/>
      <c r="H129" s="517"/>
      <c r="J129" s="515"/>
      <c r="K129" s="516"/>
      <c r="L129" s="516"/>
      <c r="M129" s="516"/>
      <c r="N129" s="516"/>
      <c r="O129" s="516"/>
      <c r="P129" s="517"/>
    </row>
    <row r="130" spans="2:16" x14ac:dyDescent="0.3">
      <c r="B130" s="518"/>
      <c r="C130" s="519"/>
      <c r="D130" s="519"/>
      <c r="E130" s="519"/>
      <c r="F130" s="519"/>
      <c r="G130" s="519"/>
      <c r="H130" s="520"/>
      <c r="J130" s="518"/>
      <c r="K130" s="519"/>
      <c r="L130" s="519"/>
      <c r="M130" s="519"/>
      <c r="N130" s="519"/>
      <c r="O130" s="519"/>
      <c r="P130" s="520"/>
    </row>
    <row r="131" spans="2:16" ht="49.95" customHeight="1" x14ac:dyDescent="0.3">
      <c r="B131" s="107" t="s">
        <v>658</v>
      </c>
      <c r="C131" s="511" t="str">
        <f>VLOOKUP(B131,'Orçamento Sintético'!A:J,4,0)</f>
        <v>ARMAÇÃO DE ESTRUTURAS DIVERSAS DE CONCRETO ARMADO, EXCETO VIGAS, PILARES, LAJES E FUNDAÇÕES, UTILIZANDO AÇO CA-60 DE 5,0 MM - MONTAGEM. AF_06/2022</v>
      </c>
      <c r="D131" s="511"/>
      <c r="E131" s="511"/>
      <c r="F131" s="511"/>
      <c r="G131" s="511"/>
      <c r="H131" s="511"/>
      <c r="J131" s="107" t="s">
        <v>659</v>
      </c>
      <c r="K131" s="511" t="str">
        <f>VLOOKUP(J131,'Orçamento Sintético'!A:J,4,0)</f>
        <v>CONCRETAGEM DE PILARES, FCK = 25 MPA, COM USO DE BOMBA - LANÇAMENTO, ADENSAMENTO E ACABAMENTO. AF_02/2022_PS</v>
      </c>
      <c r="L131" s="511"/>
      <c r="M131" s="511"/>
      <c r="N131" s="511"/>
      <c r="O131" s="511"/>
      <c r="P131" s="511"/>
    </row>
    <row r="132" spans="2:16" ht="3" customHeight="1" x14ac:dyDescent="0.3">
      <c r="B132" s="107"/>
      <c r="C132" s="248"/>
      <c r="D132" s="248"/>
      <c r="E132" s="248"/>
      <c r="F132" s="248"/>
      <c r="G132" s="248"/>
      <c r="H132" s="248"/>
      <c r="J132" s="107"/>
      <c r="K132" s="248"/>
      <c r="L132" s="248"/>
      <c r="M132" s="248"/>
      <c r="N132" s="248"/>
      <c r="O132" s="248"/>
      <c r="P132" s="248"/>
    </row>
    <row r="133" spans="2:16" x14ac:dyDescent="0.3">
      <c r="B133" s="512"/>
      <c r="C133" s="513"/>
      <c r="D133" s="513"/>
      <c r="E133" s="513"/>
      <c r="F133" s="513"/>
      <c r="G133" s="513"/>
      <c r="H133" s="514"/>
      <c r="J133" s="512"/>
      <c r="K133" s="513"/>
      <c r="L133" s="513"/>
      <c r="M133" s="513"/>
      <c r="N133" s="513"/>
      <c r="O133" s="513"/>
      <c r="P133" s="514"/>
    </row>
    <row r="134" spans="2:16" x14ac:dyDescent="0.3">
      <c r="B134" s="515"/>
      <c r="C134" s="516"/>
      <c r="D134" s="516"/>
      <c r="E134" s="516"/>
      <c r="F134" s="516"/>
      <c r="G134" s="516"/>
      <c r="H134" s="517"/>
      <c r="J134" s="515"/>
      <c r="K134" s="516"/>
      <c r="L134" s="516"/>
      <c r="M134" s="516"/>
      <c r="N134" s="516"/>
      <c r="O134" s="516"/>
      <c r="P134" s="517"/>
    </row>
    <row r="135" spans="2:16" x14ac:dyDescent="0.3">
      <c r="B135" s="515"/>
      <c r="C135" s="516"/>
      <c r="D135" s="516"/>
      <c r="E135" s="516"/>
      <c r="F135" s="516"/>
      <c r="G135" s="516"/>
      <c r="H135" s="517"/>
      <c r="J135" s="515"/>
      <c r="K135" s="516"/>
      <c r="L135" s="516"/>
      <c r="M135" s="516"/>
      <c r="N135" s="516"/>
      <c r="O135" s="516"/>
      <c r="P135" s="517"/>
    </row>
    <row r="136" spans="2:16" x14ac:dyDescent="0.3">
      <c r="B136" s="515"/>
      <c r="C136" s="516"/>
      <c r="D136" s="516"/>
      <c r="E136" s="516"/>
      <c r="F136" s="516"/>
      <c r="G136" s="516"/>
      <c r="H136" s="517"/>
      <c r="J136" s="515"/>
      <c r="K136" s="516"/>
      <c r="L136" s="516"/>
      <c r="M136" s="516"/>
      <c r="N136" s="516"/>
      <c r="O136" s="516"/>
      <c r="P136" s="517"/>
    </row>
    <row r="137" spans="2:16" x14ac:dyDescent="0.3">
      <c r="B137" s="515"/>
      <c r="C137" s="516"/>
      <c r="D137" s="516"/>
      <c r="E137" s="516"/>
      <c r="F137" s="516"/>
      <c r="G137" s="516"/>
      <c r="H137" s="517"/>
      <c r="J137" s="515"/>
      <c r="K137" s="516"/>
      <c r="L137" s="516"/>
      <c r="M137" s="516"/>
      <c r="N137" s="516"/>
      <c r="O137" s="516"/>
      <c r="P137" s="517"/>
    </row>
    <row r="138" spans="2:16" x14ac:dyDescent="0.3">
      <c r="B138" s="515"/>
      <c r="C138" s="516"/>
      <c r="D138" s="516"/>
      <c r="E138" s="516"/>
      <c r="F138" s="516"/>
      <c r="G138" s="516"/>
      <c r="H138" s="517"/>
      <c r="J138" s="515"/>
      <c r="K138" s="516"/>
      <c r="L138" s="516"/>
      <c r="M138" s="516"/>
      <c r="N138" s="516"/>
      <c r="O138" s="516"/>
      <c r="P138" s="517"/>
    </row>
    <row r="139" spans="2:16" x14ac:dyDescent="0.3">
      <c r="B139" s="515"/>
      <c r="C139" s="516"/>
      <c r="D139" s="516"/>
      <c r="E139" s="516"/>
      <c r="F139" s="516"/>
      <c r="G139" s="516"/>
      <c r="H139" s="517"/>
      <c r="J139" s="515"/>
      <c r="K139" s="516"/>
      <c r="L139" s="516"/>
      <c r="M139" s="516"/>
      <c r="N139" s="516"/>
      <c r="O139" s="516"/>
      <c r="P139" s="517"/>
    </row>
    <row r="140" spans="2:16" x14ac:dyDescent="0.3">
      <c r="B140" s="515"/>
      <c r="C140" s="516"/>
      <c r="D140" s="516"/>
      <c r="E140" s="516"/>
      <c r="F140" s="516"/>
      <c r="G140" s="516"/>
      <c r="H140" s="517"/>
      <c r="J140" s="515"/>
      <c r="K140" s="516"/>
      <c r="L140" s="516"/>
      <c r="M140" s="516"/>
      <c r="N140" s="516"/>
      <c r="O140" s="516"/>
      <c r="P140" s="517"/>
    </row>
    <row r="141" spans="2:16" x14ac:dyDescent="0.3">
      <c r="B141" s="515"/>
      <c r="C141" s="516"/>
      <c r="D141" s="516"/>
      <c r="E141" s="516"/>
      <c r="F141" s="516"/>
      <c r="G141" s="516"/>
      <c r="H141" s="517"/>
      <c r="J141" s="515"/>
      <c r="K141" s="516"/>
      <c r="L141" s="516"/>
      <c r="M141" s="516"/>
      <c r="N141" s="516"/>
      <c r="O141" s="516"/>
      <c r="P141" s="517"/>
    </row>
    <row r="142" spans="2:16" x14ac:dyDescent="0.3">
      <c r="B142" s="515"/>
      <c r="C142" s="516"/>
      <c r="D142" s="516"/>
      <c r="E142" s="516"/>
      <c r="F142" s="516"/>
      <c r="G142" s="516"/>
      <c r="H142" s="517"/>
      <c r="J142" s="515"/>
      <c r="K142" s="516"/>
      <c r="L142" s="516"/>
      <c r="M142" s="516"/>
      <c r="N142" s="516"/>
      <c r="O142" s="516"/>
      <c r="P142" s="517"/>
    </row>
    <row r="143" spans="2:16" x14ac:dyDescent="0.3">
      <c r="B143" s="518"/>
      <c r="C143" s="519"/>
      <c r="D143" s="519"/>
      <c r="E143" s="519"/>
      <c r="F143" s="519"/>
      <c r="G143" s="519"/>
      <c r="H143" s="520"/>
      <c r="J143" s="518"/>
      <c r="K143" s="519"/>
      <c r="L143" s="519"/>
      <c r="M143" s="519"/>
      <c r="N143" s="519"/>
      <c r="O143" s="519"/>
      <c r="P143" s="520"/>
    </row>
    <row r="144" spans="2:16" ht="49.95" customHeight="1" x14ac:dyDescent="0.3">
      <c r="B144" s="107" t="s">
        <v>661</v>
      </c>
      <c r="C144" s="511" t="str">
        <f>VLOOKUP(B144,'Orçamento Sintético'!A:J,4,0)</f>
        <v>VERGA PRÉ-MOLDADA PARA JANELAS COM MAIS DE 1,5 M DE VÃO. AF_03/2016</v>
      </c>
      <c r="D144" s="511"/>
      <c r="E144" s="511"/>
      <c r="F144" s="511"/>
      <c r="G144" s="511"/>
      <c r="H144" s="511"/>
      <c r="J144" s="107" t="s">
        <v>662</v>
      </c>
      <c r="K144" s="511" t="str">
        <f>VLOOKUP(J144,'Orçamento Sintético'!A:J,4,0)</f>
        <v>ALVENARIA DE VEDAÇÃO DE BLOCOS CERÂMICOS FURADOS NA VERTICAL DE 9X19X39 CM (ESPESSURA 9 CM) E ARGAMASSA DE ASSENTAMENTO COM PREPARO EM BETONEIRA. AF_12/2021</v>
      </c>
      <c r="L144" s="511"/>
      <c r="M144" s="511"/>
      <c r="N144" s="511"/>
      <c r="O144" s="511"/>
      <c r="P144" s="511"/>
    </row>
    <row r="145" spans="2:16" ht="4.5" customHeight="1" x14ac:dyDescent="0.3">
      <c r="B145" s="107"/>
      <c r="C145" s="248"/>
      <c r="D145" s="248"/>
      <c r="E145" s="248"/>
      <c r="F145" s="248"/>
      <c r="G145" s="248"/>
      <c r="H145" s="248"/>
      <c r="J145" s="107"/>
      <c r="K145" s="248"/>
      <c r="L145" s="248"/>
      <c r="M145" s="248"/>
      <c r="N145" s="248"/>
      <c r="O145" s="248"/>
      <c r="P145" s="248"/>
    </row>
    <row r="146" spans="2:16" x14ac:dyDescent="0.3">
      <c r="B146" s="512"/>
      <c r="C146" s="513"/>
      <c r="D146" s="513"/>
      <c r="E146" s="513"/>
      <c r="F146" s="513"/>
      <c r="G146" s="513"/>
      <c r="H146" s="514"/>
      <c r="J146" s="512"/>
      <c r="K146" s="513"/>
      <c r="L146" s="513"/>
      <c r="M146" s="513"/>
      <c r="N146" s="513"/>
      <c r="O146" s="513"/>
      <c r="P146" s="514"/>
    </row>
    <row r="147" spans="2:16" x14ac:dyDescent="0.3">
      <c r="B147" s="515"/>
      <c r="C147" s="516"/>
      <c r="D147" s="516"/>
      <c r="E147" s="516"/>
      <c r="F147" s="516"/>
      <c r="G147" s="516"/>
      <c r="H147" s="517"/>
      <c r="J147" s="515"/>
      <c r="K147" s="516"/>
      <c r="L147" s="516"/>
      <c r="M147" s="516"/>
      <c r="N147" s="516"/>
      <c r="O147" s="516"/>
      <c r="P147" s="517"/>
    </row>
    <row r="148" spans="2:16" x14ac:dyDescent="0.3">
      <c r="B148" s="515"/>
      <c r="C148" s="516"/>
      <c r="D148" s="516"/>
      <c r="E148" s="516"/>
      <c r="F148" s="516"/>
      <c r="G148" s="516"/>
      <c r="H148" s="517"/>
      <c r="J148" s="515"/>
      <c r="K148" s="516"/>
      <c r="L148" s="516"/>
      <c r="M148" s="516"/>
      <c r="N148" s="516"/>
      <c r="O148" s="516"/>
      <c r="P148" s="517"/>
    </row>
    <row r="149" spans="2:16" x14ac:dyDescent="0.3">
      <c r="B149" s="515"/>
      <c r="C149" s="516"/>
      <c r="D149" s="516"/>
      <c r="E149" s="516"/>
      <c r="F149" s="516"/>
      <c r="G149" s="516"/>
      <c r="H149" s="517"/>
      <c r="J149" s="515"/>
      <c r="K149" s="516"/>
      <c r="L149" s="516"/>
      <c r="M149" s="516"/>
      <c r="N149" s="516"/>
      <c r="O149" s="516"/>
      <c r="P149" s="517"/>
    </row>
    <row r="150" spans="2:16" x14ac:dyDescent="0.3">
      <c r="B150" s="515"/>
      <c r="C150" s="516"/>
      <c r="D150" s="516"/>
      <c r="E150" s="516"/>
      <c r="F150" s="516"/>
      <c r="G150" s="516"/>
      <c r="H150" s="517"/>
      <c r="J150" s="515"/>
      <c r="K150" s="516"/>
      <c r="L150" s="516"/>
      <c r="M150" s="516"/>
      <c r="N150" s="516"/>
      <c r="O150" s="516"/>
      <c r="P150" s="517"/>
    </row>
    <row r="151" spans="2:16" x14ac:dyDescent="0.3">
      <c r="B151" s="515"/>
      <c r="C151" s="516"/>
      <c r="D151" s="516"/>
      <c r="E151" s="516"/>
      <c r="F151" s="516"/>
      <c r="G151" s="516"/>
      <c r="H151" s="517"/>
      <c r="J151" s="515"/>
      <c r="K151" s="516"/>
      <c r="L151" s="516"/>
      <c r="M151" s="516"/>
      <c r="N151" s="516"/>
      <c r="O151" s="516"/>
      <c r="P151" s="517"/>
    </row>
    <row r="152" spans="2:16" x14ac:dyDescent="0.3">
      <c r="B152" s="515"/>
      <c r="C152" s="516"/>
      <c r="D152" s="516"/>
      <c r="E152" s="516"/>
      <c r="F152" s="516"/>
      <c r="G152" s="516"/>
      <c r="H152" s="517"/>
      <c r="J152" s="515"/>
      <c r="K152" s="516"/>
      <c r="L152" s="516"/>
      <c r="M152" s="516"/>
      <c r="N152" s="516"/>
      <c r="O152" s="516"/>
      <c r="P152" s="517"/>
    </row>
    <row r="153" spans="2:16" x14ac:dyDescent="0.3">
      <c r="B153" s="515"/>
      <c r="C153" s="516"/>
      <c r="D153" s="516"/>
      <c r="E153" s="516"/>
      <c r="F153" s="516"/>
      <c r="G153" s="516"/>
      <c r="H153" s="517"/>
      <c r="J153" s="515"/>
      <c r="K153" s="516"/>
      <c r="L153" s="516"/>
      <c r="M153" s="516"/>
      <c r="N153" s="516"/>
      <c r="O153" s="516"/>
      <c r="P153" s="517"/>
    </row>
    <row r="154" spans="2:16" x14ac:dyDescent="0.3">
      <c r="B154" s="515"/>
      <c r="C154" s="516"/>
      <c r="D154" s="516"/>
      <c r="E154" s="516"/>
      <c r="F154" s="516"/>
      <c r="G154" s="516"/>
      <c r="H154" s="517"/>
      <c r="J154" s="515"/>
      <c r="K154" s="516"/>
      <c r="L154" s="516"/>
      <c r="M154" s="516"/>
      <c r="N154" s="516"/>
      <c r="O154" s="516"/>
      <c r="P154" s="517"/>
    </row>
    <row r="155" spans="2:16" x14ac:dyDescent="0.3">
      <c r="B155" s="515"/>
      <c r="C155" s="516"/>
      <c r="D155" s="516"/>
      <c r="E155" s="516"/>
      <c r="F155" s="516"/>
      <c r="G155" s="516"/>
      <c r="H155" s="517"/>
      <c r="J155" s="515"/>
      <c r="K155" s="516"/>
      <c r="L155" s="516"/>
      <c r="M155" s="516"/>
      <c r="N155" s="516"/>
      <c r="O155" s="516"/>
      <c r="P155" s="517"/>
    </row>
    <row r="156" spans="2:16" x14ac:dyDescent="0.3">
      <c r="B156" s="518"/>
      <c r="C156" s="519"/>
      <c r="D156" s="519"/>
      <c r="E156" s="519"/>
      <c r="F156" s="519"/>
      <c r="G156" s="519"/>
      <c r="H156" s="520"/>
      <c r="J156" s="518"/>
      <c r="K156" s="519"/>
      <c r="L156" s="519"/>
      <c r="M156" s="519"/>
      <c r="N156" s="519"/>
      <c r="O156" s="519"/>
      <c r="P156" s="520"/>
    </row>
    <row r="157" spans="2:16" ht="49.95" customHeight="1" x14ac:dyDescent="0.3">
      <c r="B157" s="107" t="s">
        <v>697</v>
      </c>
      <c r="C157" s="511" t="str">
        <f>VLOOKUP(B157,'Orçamento Sintético'!A:J,4,0)</f>
        <v>TINTA DE BASE ASFÁLTICA 2 DEMÃOS C/BROXA</v>
      </c>
      <c r="D157" s="511"/>
      <c r="E157" s="511"/>
      <c r="F157" s="511"/>
      <c r="G157" s="511"/>
      <c r="H157" s="511"/>
      <c r="J157" s="107" t="s">
        <v>698</v>
      </c>
      <c r="K157" s="511" t="str">
        <f>VLOOKUP(J157,'Orçamento Sintético'!A:J,4,0)</f>
        <v>CHAPISCO APLICADO EM ALVENARIAS E ESTRUTURAS DE CONCRETO INTERNAS, COM COLHER DE PEDREIRO.  ARGAMASSA TRAÇO 1:3 COM PREPARO MANUAL. AF_10/2022</v>
      </c>
      <c r="L157" s="511"/>
      <c r="M157" s="511"/>
      <c r="N157" s="511"/>
      <c r="O157" s="511"/>
      <c r="P157" s="511"/>
    </row>
    <row r="158" spans="2:16" ht="3.75" customHeight="1" thickBot="1" x14ac:dyDescent="0.35">
      <c r="B158" s="107"/>
      <c r="C158" s="511"/>
      <c r="D158" s="511"/>
      <c r="E158" s="511"/>
      <c r="F158" s="511"/>
      <c r="G158" s="511"/>
      <c r="H158" s="511"/>
      <c r="J158" s="104"/>
      <c r="K158" s="104"/>
      <c r="L158" s="104"/>
      <c r="M158" s="104"/>
      <c r="N158" s="104"/>
      <c r="O158" s="104"/>
      <c r="P158" s="104"/>
    </row>
    <row r="159" spans="2:16" ht="49.95" customHeight="1" thickTop="1" x14ac:dyDescent="0.3">
      <c r="B159" s="533" t="s">
        <v>944</v>
      </c>
      <c r="C159" s="534"/>
      <c r="D159" s="534"/>
      <c r="E159" s="534"/>
      <c r="F159" s="534"/>
      <c r="G159" s="534"/>
      <c r="H159" s="535"/>
      <c r="I159" s="210"/>
      <c r="J159" s="533" t="s">
        <v>945</v>
      </c>
      <c r="K159" s="534"/>
      <c r="L159" s="534"/>
      <c r="M159" s="534"/>
      <c r="N159" s="534"/>
      <c r="O159" s="534"/>
      <c r="P159" s="535"/>
    </row>
    <row r="160" spans="2:16" ht="39.75" customHeight="1" x14ac:dyDescent="0.3">
      <c r="B160" s="536" t="s">
        <v>947</v>
      </c>
      <c r="C160" s="537"/>
      <c r="D160" s="537"/>
      <c r="E160" s="537"/>
      <c r="F160" s="537"/>
      <c r="G160" s="537"/>
      <c r="H160" s="538"/>
      <c r="I160" s="211"/>
      <c r="J160" s="536" t="s">
        <v>948</v>
      </c>
      <c r="K160" s="537"/>
      <c r="L160" s="537"/>
      <c r="M160" s="537"/>
      <c r="N160" s="537"/>
      <c r="O160" s="537"/>
      <c r="P160" s="538"/>
    </row>
    <row r="161" spans="2:16" ht="49.95" customHeight="1" thickBot="1" x14ac:dyDescent="0.35">
      <c r="B161" s="539"/>
      <c r="C161" s="540"/>
      <c r="D161" s="540"/>
      <c r="E161" s="540"/>
      <c r="F161" s="540"/>
      <c r="G161" s="540"/>
      <c r="H161" s="541"/>
      <c r="I161" s="212"/>
      <c r="J161" s="539"/>
      <c r="K161" s="540"/>
      <c r="L161" s="540"/>
      <c r="M161" s="540"/>
      <c r="N161" s="540"/>
      <c r="O161" s="540"/>
      <c r="P161" s="541"/>
    </row>
    <row r="162" spans="2:16" ht="10.5" customHeight="1" thickTop="1" x14ac:dyDescent="0.3">
      <c r="B162" s="107"/>
      <c r="C162" s="248"/>
      <c r="D162" s="248"/>
      <c r="E162" s="248"/>
      <c r="F162" s="248"/>
      <c r="G162" s="248"/>
      <c r="H162" s="248"/>
      <c r="J162" s="107"/>
      <c r="K162" s="248"/>
      <c r="L162" s="248"/>
      <c r="M162" s="248"/>
      <c r="N162" s="248"/>
      <c r="O162" s="248"/>
      <c r="P162" s="248"/>
    </row>
    <row r="163" spans="2:16" x14ac:dyDescent="0.3">
      <c r="B163" s="512"/>
      <c r="C163" s="513"/>
      <c r="D163" s="513"/>
      <c r="E163" s="513"/>
      <c r="F163" s="513"/>
      <c r="G163" s="513"/>
      <c r="H163" s="514"/>
      <c r="J163" s="512"/>
      <c r="K163" s="513"/>
      <c r="L163" s="513"/>
      <c r="M163" s="513"/>
      <c r="N163" s="513"/>
      <c r="O163" s="513"/>
      <c r="P163" s="514"/>
    </row>
    <row r="164" spans="2:16" x14ac:dyDescent="0.3">
      <c r="B164" s="515"/>
      <c r="C164" s="516"/>
      <c r="D164" s="516"/>
      <c r="E164" s="516"/>
      <c r="F164" s="516"/>
      <c r="G164" s="516"/>
      <c r="H164" s="517"/>
      <c r="J164" s="515"/>
      <c r="K164" s="516"/>
      <c r="L164" s="516"/>
      <c r="M164" s="516"/>
      <c r="N164" s="516"/>
      <c r="O164" s="516"/>
      <c r="P164" s="517"/>
    </row>
    <row r="165" spans="2:16" x14ac:dyDescent="0.3">
      <c r="B165" s="515"/>
      <c r="C165" s="516"/>
      <c r="D165" s="516"/>
      <c r="E165" s="516"/>
      <c r="F165" s="516"/>
      <c r="G165" s="516"/>
      <c r="H165" s="517"/>
      <c r="J165" s="515"/>
      <c r="K165" s="516"/>
      <c r="L165" s="516"/>
      <c r="M165" s="516"/>
      <c r="N165" s="516"/>
      <c r="O165" s="516"/>
      <c r="P165" s="517"/>
    </row>
    <row r="166" spans="2:16" x14ac:dyDescent="0.3">
      <c r="B166" s="515"/>
      <c r="C166" s="516"/>
      <c r="D166" s="516"/>
      <c r="E166" s="516"/>
      <c r="F166" s="516"/>
      <c r="G166" s="516"/>
      <c r="H166" s="517"/>
      <c r="J166" s="515"/>
      <c r="K166" s="516"/>
      <c r="L166" s="516"/>
      <c r="M166" s="516"/>
      <c r="N166" s="516"/>
      <c r="O166" s="516"/>
      <c r="P166" s="517"/>
    </row>
    <row r="167" spans="2:16" x14ac:dyDescent="0.3">
      <c r="B167" s="515"/>
      <c r="C167" s="516"/>
      <c r="D167" s="516"/>
      <c r="E167" s="516"/>
      <c r="F167" s="516"/>
      <c r="G167" s="516"/>
      <c r="H167" s="517"/>
      <c r="J167" s="515"/>
      <c r="K167" s="516"/>
      <c r="L167" s="516"/>
      <c r="M167" s="516"/>
      <c r="N167" s="516"/>
      <c r="O167" s="516"/>
      <c r="P167" s="517"/>
    </row>
    <row r="168" spans="2:16" x14ac:dyDescent="0.3">
      <c r="B168" s="515"/>
      <c r="C168" s="516"/>
      <c r="D168" s="516"/>
      <c r="E168" s="516"/>
      <c r="F168" s="516"/>
      <c r="G168" s="516"/>
      <c r="H168" s="517"/>
      <c r="J168" s="515"/>
      <c r="K168" s="516"/>
      <c r="L168" s="516"/>
      <c r="M168" s="516"/>
      <c r="N168" s="516"/>
      <c r="O168" s="516"/>
      <c r="P168" s="517"/>
    </row>
    <row r="169" spans="2:16" x14ac:dyDescent="0.3">
      <c r="B169" s="515"/>
      <c r="C169" s="516"/>
      <c r="D169" s="516"/>
      <c r="E169" s="516"/>
      <c r="F169" s="516"/>
      <c r="G169" s="516"/>
      <c r="H169" s="517"/>
      <c r="J169" s="515"/>
      <c r="K169" s="516"/>
      <c r="L169" s="516"/>
      <c r="M169" s="516"/>
      <c r="N169" s="516"/>
      <c r="O169" s="516"/>
      <c r="P169" s="517"/>
    </row>
    <row r="170" spans="2:16" x14ac:dyDescent="0.3">
      <c r="B170" s="515"/>
      <c r="C170" s="516"/>
      <c r="D170" s="516"/>
      <c r="E170" s="516"/>
      <c r="F170" s="516"/>
      <c r="G170" s="516"/>
      <c r="H170" s="517"/>
      <c r="J170" s="515"/>
      <c r="K170" s="516"/>
      <c r="L170" s="516"/>
      <c r="M170" s="516"/>
      <c r="N170" s="516"/>
      <c r="O170" s="516"/>
      <c r="P170" s="517"/>
    </row>
    <row r="171" spans="2:16" x14ac:dyDescent="0.3">
      <c r="B171" s="515"/>
      <c r="C171" s="516"/>
      <c r="D171" s="516"/>
      <c r="E171" s="516"/>
      <c r="F171" s="516"/>
      <c r="G171" s="516"/>
      <c r="H171" s="517"/>
      <c r="J171" s="515"/>
      <c r="K171" s="516"/>
      <c r="L171" s="516"/>
      <c r="M171" s="516"/>
      <c r="N171" s="516"/>
      <c r="O171" s="516"/>
      <c r="P171" s="517"/>
    </row>
    <row r="172" spans="2:16" x14ac:dyDescent="0.3">
      <c r="B172" s="515"/>
      <c r="C172" s="516"/>
      <c r="D172" s="516"/>
      <c r="E172" s="516"/>
      <c r="F172" s="516"/>
      <c r="G172" s="516"/>
      <c r="H172" s="517"/>
      <c r="J172" s="515"/>
      <c r="K172" s="516"/>
      <c r="L172" s="516"/>
      <c r="M172" s="516"/>
      <c r="N172" s="516"/>
      <c r="O172" s="516"/>
      <c r="P172" s="517"/>
    </row>
    <row r="173" spans="2:16" x14ac:dyDescent="0.3">
      <c r="B173" s="518"/>
      <c r="C173" s="519"/>
      <c r="D173" s="519"/>
      <c r="E173" s="519"/>
      <c r="F173" s="519"/>
      <c r="G173" s="519"/>
      <c r="H173" s="520"/>
      <c r="J173" s="518"/>
      <c r="K173" s="519"/>
      <c r="L173" s="519"/>
      <c r="M173" s="519"/>
      <c r="N173" s="519"/>
      <c r="O173" s="519"/>
      <c r="P173" s="520"/>
    </row>
    <row r="174" spans="2:16" ht="49.95" customHeight="1" x14ac:dyDescent="0.3">
      <c r="B174" s="107"/>
      <c r="C174" s="511" t="e">
        <f>VLOOKUP(B174,'Orçamento Sintético'!A:J,4,0)</f>
        <v>#N/A</v>
      </c>
      <c r="D174" s="511"/>
      <c r="E174" s="511"/>
      <c r="F174" s="511"/>
      <c r="G174" s="511"/>
      <c r="H174" s="511"/>
      <c r="J174" s="107"/>
      <c r="K174" s="511" t="e">
        <f>VLOOKUP(J174,'Orçamento Sintético'!A:J,4,0)</f>
        <v>#N/A</v>
      </c>
      <c r="L174" s="511"/>
      <c r="M174" s="511"/>
      <c r="N174" s="511"/>
      <c r="O174" s="511"/>
      <c r="P174" s="511"/>
    </row>
    <row r="175" spans="2:16" ht="14.25" customHeight="1" x14ac:dyDescent="0.3">
      <c r="B175" s="107"/>
      <c r="C175" s="248"/>
      <c r="D175" s="248"/>
      <c r="E175" s="248"/>
      <c r="F175" s="248"/>
      <c r="G175" s="248"/>
      <c r="H175" s="248"/>
      <c r="J175" s="107"/>
      <c r="K175" s="248"/>
      <c r="L175" s="248"/>
      <c r="M175" s="248"/>
      <c r="N175" s="248"/>
      <c r="O175" s="248"/>
      <c r="P175" s="248"/>
    </row>
    <row r="176" spans="2:16" x14ac:dyDescent="0.3">
      <c r="B176" s="512"/>
      <c r="C176" s="513"/>
      <c r="D176" s="513"/>
      <c r="E176" s="513"/>
      <c r="F176" s="513"/>
      <c r="G176" s="513"/>
      <c r="H176" s="514"/>
      <c r="J176" s="512"/>
      <c r="K176" s="513"/>
      <c r="L176" s="513"/>
      <c r="M176" s="513"/>
      <c r="N176" s="513"/>
      <c r="O176" s="513"/>
      <c r="P176" s="514"/>
    </row>
    <row r="177" spans="2:16" x14ac:dyDescent="0.3">
      <c r="B177" s="515"/>
      <c r="C177" s="516"/>
      <c r="D177" s="516"/>
      <c r="E177" s="516"/>
      <c r="F177" s="516"/>
      <c r="G177" s="516"/>
      <c r="H177" s="517"/>
      <c r="J177" s="515"/>
      <c r="K177" s="516"/>
      <c r="L177" s="516"/>
      <c r="M177" s="516"/>
      <c r="N177" s="516"/>
      <c r="O177" s="516"/>
      <c r="P177" s="517"/>
    </row>
    <row r="178" spans="2:16" x14ac:dyDescent="0.3">
      <c r="B178" s="515"/>
      <c r="C178" s="516"/>
      <c r="D178" s="516"/>
      <c r="E178" s="516"/>
      <c r="F178" s="516"/>
      <c r="G178" s="516"/>
      <c r="H178" s="517"/>
      <c r="J178" s="515"/>
      <c r="K178" s="516"/>
      <c r="L178" s="516"/>
      <c r="M178" s="516"/>
      <c r="N178" s="516"/>
      <c r="O178" s="516"/>
      <c r="P178" s="517"/>
    </row>
    <row r="179" spans="2:16" x14ac:dyDescent="0.3">
      <c r="B179" s="515"/>
      <c r="C179" s="516"/>
      <c r="D179" s="516"/>
      <c r="E179" s="516"/>
      <c r="F179" s="516"/>
      <c r="G179" s="516"/>
      <c r="H179" s="517"/>
      <c r="J179" s="515"/>
      <c r="K179" s="516"/>
      <c r="L179" s="516"/>
      <c r="M179" s="516"/>
      <c r="N179" s="516"/>
      <c r="O179" s="516"/>
      <c r="P179" s="517"/>
    </row>
    <row r="180" spans="2:16" x14ac:dyDescent="0.3">
      <c r="B180" s="515"/>
      <c r="C180" s="516"/>
      <c r="D180" s="516"/>
      <c r="E180" s="516"/>
      <c r="F180" s="516"/>
      <c r="G180" s="516"/>
      <c r="H180" s="517"/>
      <c r="J180" s="515"/>
      <c r="K180" s="516"/>
      <c r="L180" s="516"/>
      <c r="M180" s="516"/>
      <c r="N180" s="516"/>
      <c r="O180" s="516"/>
      <c r="P180" s="517"/>
    </row>
    <row r="181" spans="2:16" x14ac:dyDescent="0.3">
      <c r="B181" s="515"/>
      <c r="C181" s="516"/>
      <c r="D181" s="516"/>
      <c r="E181" s="516"/>
      <c r="F181" s="516"/>
      <c r="G181" s="516"/>
      <c r="H181" s="517"/>
      <c r="J181" s="515"/>
      <c r="K181" s="516"/>
      <c r="L181" s="516"/>
      <c r="M181" s="516"/>
      <c r="N181" s="516"/>
      <c r="O181" s="516"/>
      <c r="P181" s="517"/>
    </row>
    <row r="182" spans="2:16" x14ac:dyDescent="0.3">
      <c r="B182" s="515"/>
      <c r="C182" s="516"/>
      <c r="D182" s="516"/>
      <c r="E182" s="516"/>
      <c r="F182" s="516"/>
      <c r="G182" s="516"/>
      <c r="H182" s="517"/>
      <c r="J182" s="515"/>
      <c r="K182" s="516"/>
      <c r="L182" s="516"/>
      <c r="M182" s="516"/>
      <c r="N182" s="516"/>
      <c r="O182" s="516"/>
      <c r="P182" s="517"/>
    </row>
    <row r="183" spans="2:16" x14ac:dyDescent="0.3">
      <c r="B183" s="515"/>
      <c r="C183" s="516"/>
      <c r="D183" s="516"/>
      <c r="E183" s="516"/>
      <c r="F183" s="516"/>
      <c r="G183" s="516"/>
      <c r="H183" s="517"/>
      <c r="J183" s="515"/>
      <c r="K183" s="516"/>
      <c r="L183" s="516"/>
      <c r="M183" s="516"/>
      <c r="N183" s="516"/>
      <c r="O183" s="516"/>
      <c r="P183" s="517"/>
    </row>
    <row r="184" spans="2:16" x14ac:dyDescent="0.3">
      <c r="B184" s="515"/>
      <c r="C184" s="516"/>
      <c r="D184" s="516"/>
      <c r="E184" s="516"/>
      <c r="F184" s="516"/>
      <c r="G184" s="516"/>
      <c r="H184" s="517"/>
      <c r="J184" s="515"/>
      <c r="K184" s="516"/>
      <c r="L184" s="516"/>
      <c r="M184" s="516"/>
      <c r="N184" s="516"/>
      <c r="O184" s="516"/>
      <c r="P184" s="517"/>
    </row>
    <row r="185" spans="2:16" x14ac:dyDescent="0.3">
      <c r="B185" s="515"/>
      <c r="C185" s="516"/>
      <c r="D185" s="516"/>
      <c r="E185" s="516"/>
      <c r="F185" s="516"/>
      <c r="G185" s="516"/>
      <c r="H185" s="517"/>
      <c r="J185" s="515"/>
      <c r="K185" s="516"/>
      <c r="L185" s="516"/>
      <c r="M185" s="516"/>
      <c r="N185" s="516"/>
      <c r="O185" s="516"/>
      <c r="P185" s="517"/>
    </row>
    <row r="186" spans="2:16" x14ac:dyDescent="0.3">
      <c r="B186" s="518"/>
      <c r="C186" s="519"/>
      <c r="D186" s="519"/>
      <c r="E186" s="519"/>
      <c r="F186" s="519"/>
      <c r="G186" s="519"/>
      <c r="H186" s="520"/>
      <c r="J186" s="518"/>
      <c r="K186" s="519"/>
      <c r="L186" s="519"/>
      <c r="M186" s="519"/>
      <c r="N186" s="519"/>
      <c r="O186" s="519"/>
      <c r="P186" s="520"/>
    </row>
    <row r="187" spans="2:16" ht="49.95" customHeight="1" x14ac:dyDescent="0.3">
      <c r="B187" s="107"/>
      <c r="C187" s="511" t="e">
        <f>VLOOKUP(B187,'Orçamento Sintético'!A:J,4,0)</f>
        <v>#N/A</v>
      </c>
      <c r="D187" s="511"/>
      <c r="E187" s="511"/>
      <c r="F187" s="511"/>
      <c r="G187" s="511"/>
      <c r="H187" s="511"/>
      <c r="J187" s="107"/>
      <c r="K187" s="511" t="e">
        <f>VLOOKUP(J187,'Orçamento Sintético'!A:J,4,0)</f>
        <v>#N/A</v>
      </c>
      <c r="L187" s="511"/>
      <c r="M187" s="511"/>
      <c r="N187" s="511"/>
      <c r="O187" s="511"/>
      <c r="P187" s="511"/>
    </row>
    <row r="188" spans="2:16" ht="11.25" customHeight="1" x14ac:dyDescent="0.3">
      <c r="B188" s="107"/>
      <c r="C188" s="248"/>
      <c r="D188" s="248"/>
      <c r="E188" s="248"/>
      <c r="F188" s="248"/>
      <c r="G188" s="248"/>
      <c r="H188" s="248"/>
      <c r="J188" s="107"/>
      <c r="K188" s="248"/>
      <c r="L188" s="248"/>
      <c r="M188" s="248"/>
      <c r="N188" s="248"/>
      <c r="O188" s="248"/>
      <c r="P188" s="248"/>
    </row>
    <row r="189" spans="2:16" x14ac:dyDescent="0.3">
      <c r="B189" s="512"/>
      <c r="C189" s="513"/>
      <c r="D189" s="513"/>
      <c r="E189" s="513"/>
      <c r="F189" s="513"/>
      <c r="G189" s="513"/>
      <c r="H189" s="514"/>
      <c r="J189" s="512"/>
      <c r="K189" s="513"/>
      <c r="L189" s="513"/>
      <c r="M189" s="513"/>
      <c r="N189" s="513"/>
      <c r="O189" s="513"/>
      <c r="P189" s="514"/>
    </row>
    <row r="190" spans="2:16" x14ac:dyDescent="0.3">
      <c r="B190" s="515"/>
      <c r="C190" s="516"/>
      <c r="D190" s="516"/>
      <c r="E190" s="516"/>
      <c r="F190" s="516"/>
      <c r="G190" s="516"/>
      <c r="H190" s="517"/>
      <c r="J190" s="515"/>
      <c r="K190" s="516"/>
      <c r="L190" s="516"/>
      <c r="M190" s="516"/>
      <c r="N190" s="516"/>
      <c r="O190" s="516"/>
      <c r="P190" s="517"/>
    </row>
    <row r="191" spans="2:16" x14ac:dyDescent="0.3">
      <c r="B191" s="515"/>
      <c r="C191" s="516"/>
      <c r="D191" s="516"/>
      <c r="E191" s="516"/>
      <c r="F191" s="516"/>
      <c r="G191" s="516"/>
      <c r="H191" s="517"/>
      <c r="J191" s="515"/>
      <c r="K191" s="516"/>
      <c r="L191" s="516"/>
      <c r="M191" s="516"/>
      <c r="N191" s="516"/>
      <c r="O191" s="516"/>
      <c r="P191" s="517"/>
    </row>
    <row r="192" spans="2:16" x14ac:dyDescent="0.3">
      <c r="B192" s="515"/>
      <c r="C192" s="516"/>
      <c r="D192" s="516"/>
      <c r="E192" s="516"/>
      <c r="F192" s="516"/>
      <c r="G192" s="516"/>
      <c r="H192" s="517"/>
      <c r="J192" s="515"/>
      <c r="K192" s="516"/>
      <c r="L192" s="516"/>
      <c r="M192" s="516"/>
      <c r="N192" s="516"/>
      <c r="O192" s="516"/>
      <c r="P192" s="517"/>
    </row>
    <row r="193" spans="2:16" x14ac:dyDescent="0.3">
      <c r="B193" s="515"/>
      <c r="C193" s="516"/>
      <c r="D193" s="516"/>
      <c r="E193" s="516"/>
      <c r="F193" s="516"/>
      <c r="G193" s="516"/>
      <c r="H193" s="517"/>
      <c r="J193" s="515"/>
      <c r="K193" s="516"/>
      <c r="L193" s="516"/>
      <c r="M193" s="516"/>
      <c r="N193" s="516"/>
      <c r="O193" s="516"/>
      <c r="P193" s="517"/>
    </row>
    <row r="194" spans="2:16" x14ac:dyDescent="0.3">
      <c r="B194" s="515"/>
      <c r="C194" s="516"/>
      <c r="D194" s="516"/>
      <c r="E194" s="516"/>
      <c r="F194" s="516"/>
      <c r="G194" s="516"/>
      <c r="H194" s="517"/>
      <c r="J194" s="515"/>
      <c r="K194" s="516"/>
      <c r="L194" s="516"/>
      <c r="M194" s="516"/>
      <c r="N194" s="516"/>
      <c r="O194" s="516"/>
      <c r="P194" s="517"/>
    </row>
    <row r="195" spans="2:16" x14ac:dyDescent="0.3">
      <c r="B195" s="515"/>
      <c r="C195" s="516"/>
      <c r="D195" s="516"/>
      <c r="E195" s="516"/>
      <c r="F195" s="516"/>
      <c r="G195" s="516"/>
      <c r="H195" s="517"/>
      <c r="J195" s="515"/>
      <c r="K195" s="516"/>
      <c r="L195" s="516"/>
      <c r="M195" s="516"/>
      <c r="N195" s="516"/>
      <c r="O195" s="516"/>
      <c r="P195" s="517"/>
    </row>
    <row r="196" spans="2:16" x14ac:dyDescent="0.3">
      <c r="B196" s="515"/>
      <c r="C196" s="516"/>
      <c r="D196" s="516"/>
      <c r="E196" s="516"/>
      <c r="F196" s="516"/>
      <c r="G196" s="516"/>
      <c r="H196" s="517"/>
      <c r="J196" s="515"/>
      <c r="K196" s="516"/>
      <c r="L196" s="516"/>
      <c r="M196" s="516"/>
      <c r="N196" s="516"/>
      <c r="O196" s="516"/>
      <c r="P196" s="517"/>
    </row>
    <row r="197" spans="2:16" x14ac:dyDescent="0.3">
      <c r="B197" s="515"/>
      <c r="C197" s="516"/>
      <c r="D197" s="516"/>
      <c r="E197" s="516"/>
      <c r="F197" s="516"/>
      <c r="G197" s="516"/>
      <c r="H197" s="517"/>
      <c r="J197" s="515"/>
      <c r="K197" s="516"/>
      <c r="L197" s="516"/>
      <c r="M197" s="516"/>
      <c r="N197" s="516"/>
      <c r="O197" s="516"/>
      <c r="P197" s="517"/>
    </row>
    <row r="198" spans="2:16" x14ac:dyDescent="0.3">
      <c r="B198" s="515"/>
      <c r="C198" s="516"/>
      <c r="D198" s="516"/>
      <c r="E198" s="516"/>
      <c r="F198" s="516"/>
      <c r="G198" s="516"/>
      <c r="H198" s="517"/>
      <c r="J198" s="515"/>
      <c r="K198" s="516"/>
      <c r="L198" s="516"/>
      <c r="M198" s="516"/>
      <c r="N198" s="516"/>
      <c r="O198" s="516"/>
      <c r="P198" s="517"/>
    </row>
    <row r="199" spans="2:16" x14ac:dyDescent="0.3">
      <c r="B199" s="518"/>
      <c r="C199" s="519"/>
      <c r="D199" s="519"/>
      <c r="E199" s="519"/>
      <c r="F199" s="519"/>
      <c r="G199" s="519"/>
      <c r="H199" s="520"/>
      <c r="J199" s="518"/>
      <c r="K199" s="519"/>
      <c r="L199" s="519"/>
      <c r="M199" s="519"/>
      <c r="N199" s="519"/>
      <c r="O199" s="519"/>
      <c r="P199" s="520"/>
    </row>
    <row r="200" spans="2:16" ht="49.95" customHeight="1" x14ac:dyDescent="0.3">
      <c r="B200" s="107"/>
      <c r="C200" s="511" t="e">
        <f>VLOOKUP(B200,'Orçamento Sintético'!A:J,4,0)</f>
        <v>#N/A</v>
      </c>
      <c r="D200" s="511"/>
      <c r="E200" s="511"/>
      <c r="F200" s="511"/>
      <c r="G200" s="511"/>
      <c r="H200" s="511"/>
      <c r="J200" s="107"/>
      <c r="K200" s="511" t="e">
        <f>VLOOKUP(J200,'Orçamento Sintético'!A:J,4,0)</f>
        <v>#N/A</v>
      </c>
      <c r="L200" s="511"/>
      <c r="M200" s="511"/>
      <c r="N200" s="511"/>
      <c r="O200" s="511"/>
      <c r="P200" s="511"/>
    </row>
    <row r="201" spans="2:16" ht="17.25" customHeight="1" x14ac:dyDescent="0.3">
      <c r="B201" s="107"/>
      <c r="C201" s="248"/>
      <c r="D201" s="248"/>
      <c r="E201" s="248"/>
      <c r="F201" s="248"/>
      <c r="G201" s="248"/>
      <c r="H201" s="248"/>
      <c r="J201" s="107"/>
      <c r="K201" s="248"/>
      <c r="L201" s="248"/>
      <c r="M201" s="248"/>
      <c r="N201" s="248"/>
      <c r="O201" s="248"/>
      <c r="P201" s="248"/>
    </row>
    <row r="202" spans="2:16" x14ac:dyDescent="0.3">
      <c r="B202" s="512"/>
      <c r="C202" s="513"/>
      <c r="D202" s="513"/>
      <c r="E202" s="513"/>
      <c r="F202" s="513"/>
      <c r="G202" s="513"/>
      <c r="H202" s="514"/>
      <c r="J202" s="512"/>
      <c r="K202" s="513"/>
      <c r="L202" s="513"/>
      <c r="M202" s="513"/>
      <c r="N202" s="513"/>
      <c r="O202" s="513"/>
      <c r="P202" s="514"/>
    </row>
    <row r="203" spans="2:16" x14ac:dyDescent="0.3">
      <c r="B203" s="515"/>
      <c r="C203" s="516"/>
      <c r="D203" s="516"/>
      <c r="E203" s="516"/>
      <c r="F203" s="516"/>
      <c r="G203" s="516"/>
      <c r="H203" s="517"/>
      <c r="J203" s="515"/>
      <c r="K203" s="516"/>
      <c r="L203" s="516"/>
      <c r="M203" s="516"/>
      <c r="N203" s="516"/>
      <c r="O203" s="516"/>
      <c r="P203" s="517"/>
    </row>
    <row r="204" spans="2:16" x14ac:dyDescent="0.3">
      <c r="B204" s="515"/>
      <c r="C204" s="516"/>
      <c r="D204" s="516"/>
      <c r="E204" s="516"/>
      <c r="F204" s="516"/>
      <c r="G204" s="516"/>
      <c r="H204" s="517"/>
      <c r="J204" s="515"/>
      <c r="K204" s="516"/>
      <c r="L204" s="516"/>
      <c r="M204" s="516"/>
      <c r="N204" s="516"/>
      <c r="O204" s="516"/>
      <c r="P204" s="517"/>
    </row>
    <row r="205" spans="2:16" x14ac:dyDescent="0.3">
      <c r="B205" s="515"/>
      <c r="C205" s="516"/>
      <c r="D205" s="516"/>
      <c r="E205" s="516"/>
      <c r="F205" s="516"/>
      <c r="G205" s="516"/>
      <c r="H205" s="517"/>
      <c r="J205" s="515"/>
      <c r="K205" s="516"/>
      <c r="L205" s="516"/>
      <c r="M205" s="516"/>
      <c r="N205" s="516"/>
      <c r="O205" s="516"/>
      <c r="P205" s="517"/>
    </row>
    <row r="206" spans="2:16" x14ac:dyDescent="0.3">
      <c r="B206" s="515"/>
      <c r="C206" s="516"/>
      <c r="D206" s="516"/>
      <c r="E206" s="516"/>
      <c r="F206" s="516"/>
      <c r="G206" s="516"/>
      <c r="H206" s="517"/>
      <c r="J206" s="515"/>
      <c r="K206" s="516"/>
      <c r="L206" s="516"/>
      <c r="M206" s="516"/>
      <c r="N206" s="516"/>
      <c r="O206" s="516"/>
      <c r="P206" s="517"/>
    </row>
    <row r="207" spans="2:16" x14ac:dyDescent="0.3">
      <c r="B207" s="515"/>
      <c r="C207" s="516"/>
      <c r="D207" s="516"/>
      <c r="E207" s="516"/>
      <c r="F207" s="516"/>
      <c r="G207" s="516"/>
      <c r="H207" s="517"/>
      <c r="J207" s="515"/>
      <c r="K207" s="516"/>
      <c r="L207" s="516"/>
      <c r="M207" s="516"/>
      <c r="N207" s="516"/>
      <c r="O207" s="516"/>
      <c r="P207" s="517"/>
    </row>
    <row r="208" spans="2:16" x14ac:dyDescent="0.3">
      <c r="B208" s="515"/>
      <c r="C208" s="516"/>
      <c r="D208" s="516"/>
      <c r="E208" s="516"/>
      <c r="F208" s="516"/>
      <c r="G208" s="516"/>
      <c r="H208" s="517"/>
      <c r="J208" s="515"/>
      <c r="K208" s="516"/>
      <c r="L208" s="516"/>
      <c r="M208" s="516"/>
      <c r="N208" s="516"/>
      <c r="O208" s="516"/>
      <c r="P208" s="517"/>
    </row>
    <row r="209" spans="2:16" x14ac:dyDescent="0.3">
      <c r="B209" s="515"/>
      <c r="C209" s="516"/>
      <c r="D209" s="516"/>
      <c r="E209" s="516"/>
      <c r="F209" s="516"/>
      <c r="G209" s="516"/>
      <c r="H209" s="517"/>
      <c r="J209" s="515"/>
      <c r="K209" s="516"/>
      <c r="L209" s="516"/>
      <c r="M209" s="516"/>
      <c r="N209" s="516"/>
      <c r="O209" s="516"/>
      <c r="P209" s="517"/>
    </row>
    <row r="210" spans="2:16" x14ac:dyDescent="0.3">
      <c r="B210" s="515"/>
      <c r="C210" s="516"/>
      <c r="D210" s="516"/>
      <c r="E210" s="516"/>
      <c r="F210" s="516"/>
      <c r="G210" s="516"/>
      <c r="H210" s="517"/>
      <c r="J210" s="515"/>
      <c r="K210" s="516"/>
      <c r="L210" s="516"/>
      <c r="M210" s="516"/>
      <c r="N210" s="516"/>
      <c r="O210" s="516"/>
      <c r="P210" s="517"/>
    </row>
    <row r="211" spans="2:16" x14ac:dyDescent="0.3">
      <c r="B211" s="515"/>
      <c r="C211" s="516"/>
      <c r="D211" s="516"/>
      <c r="E211" s="516"/>
      <c r="F211" s="516"/>
      <c r="G211" s="516"/>
      <c r="H211" s="517"/>
      <c r="J211" s="515"/>
      <c r="K211" s="516"/>
      <c r="L211" s="516"/>
      <c r="M211" s="516"/>
      <c r="N211" s="516"/>
      <c r="O211" s="516"/>
      <c r="P211" s="517"/>
    </row>
    <row r="212" spans="2:16" x14ac:dyDescent="0.3">
      <c r="B212" s="518"/>
      <c r="C212" s="519"/>
      <c r="D212" s="519"/>
      <c r="E212" s="519"/>
      <c r="F212" s="519"/>
      <c r="G212" s="519"/>
      <c r="H212" s="520"/>
      <c r="J212" s="518"/>
      <c r="K212" s="519"/>
      <c r="L212" s="519"/>
      <c r="M212" s="519"/>
      <c r="N212" s="519"/>
      <c r="O212" s="519"/>
      <c r="P212" s="520"/>
    </row>
    <row r="213" spans="2:16" ht="49.95" customHeight="1" x14ac:dyDescent="0.3">
      <c r="B213" s="107"/>
      <c r="C213" s="511" t="e">
        <f>VLOOKUP(B213,'Orçamento Sintético'!A:J,4,0)</f>
        <v>#N/A</v>
      </c>
      <c r="D213" s="511"/>
      <c r="E213" s="511"/>
      <c r="F213" s="511"/>
      <c r="G213" s="511"/>
      <c r="H213" s="511"/>
      <c r="J213" s="107"/>
      <c r="K213" s="511" t="e">
        <f>VLOOKUP(J213,'Orçamento Sintético'!A:J,4,0)</f>
        <v>#N/A</v>
      </c>
      <c r="L213" s="511"/>
      <c r="M213" s="511"/>
      <c r="N213" s="511"/>
      <c r="O213" s="511"/>
      <c r="P213" s="511"/>
    </row>
    <row r="214" spans="2:16" ht="13.5" customHeight="1" x14ac:dyDescent="0.3">
      <c r="B214" s="107"/>
      <c r="C214" s="248"/>
      <c r="D214" s="248"/>
      <c r="E214" s="248"/>
      <c r="F214" s="248"/>
      <c r="G214" s="248"/>
      <c r="H214" s="248"/>
      <c r="J214" s="107"/>
      <c r="K214" s="248"/>
      <c r="L214" s="248"/>
      <c r="M214" s="248"/>
      <c r="N214" s="248"/>
      <c r="O214" s="248"/>
      <c r="P214" s="248"/>
    </row>
    <row r="215" spans="2:16" x14ac:dyDescent="0.3">
      <c r="B215" s="512"/>
      <c r="C215" s="513"/>
      <c r="D215" s="513"/>
      <c r="E215" s="513"/>
      <c r="F215" s="513"/>
      <c r="G215" s="513"/>
      <c r="H215" s="514"/>
      <c r="J215" s="512"/>
      <c r="K215" s="513"/>
      <c r="L215" s="513"/>
      <c r="M215" s="513"/>
      <c r="N215" s="513"/>
      <c r="O215" s="513"/>
      <c r="P215" s="514"/>
    </row>
    <row r="216" spans="2:16" x14ac:dyDescent="0.3">
      <c r="B216" s="515"/>
      <c r="C216" s="516"/>
      <c r="D216" s="516"/>
      <c r="E216" s="516"/>
      <c r="F216" s="516"/>
      <c r="G216" s="516"/>
      <c r="H216" s="517"/>
      <c r="J216" s="515"/>
      <c r="K216" s="516"/>
      <c r="L216" s="516"/>
      <c r="M216" s="516"/>
      <c r="N216" s="516"/>
      <c r="O216" s="516"/>
      <c r="P216" s="517"/>
    </row>
    <row r="217" spans="2:16" x14ac:dyDescent="0.3">
      <c r="B217" s="515"/>
      <c r="C217" s="516"/>
      <c r="D217" s="516"/>
      <c r="E217" s="516"/>
      <c r="F217" s="516"/>
      <c r="G217" s="516"/>
      <c r="H217" s="517"/>
      <c r="J217" s="515"/>
      <c r="K217" s="516"/>
      <c r="L217" s="516"/>
      <c r="M217" s="516"/>
      <c r="N217" s="516"/>
      <c r="O217" s="516"/>
      <c r="P217" s="517"/>
    </row>
    <row r="218" spans="2:16" x14ac:dyDescent="0.3">
      <c r="B218" s="515"/>
      <c r="C218" s="516"/>
      <c r="D218" s="516"/>
      <c r="E218" s="516"/>
      <c r="F218" s="516"/>
      <c r="G218" s="516"/>
      <c r="H218" s="517"/>
      <c r="J218" s="515"/>
      <c r="K218" s="516"/>
      <c r="L218" s="516"/>
      <c r="M218" s="516"/>
      <c r="N218" s="516"/>
      <c r="O218" s="516"/>
      <c r="P218" s="517"/>
    </row>
    <row r="219" spans="2:16" x14ac:dyDescent="0.3">
      <c r="B219" s="515"/>
      <c r="C219" s="516"/>
      <c r="D219" s="516"/>
      <c r="E219" s="516"/>
      <c r="F219" s="516"/>
      <c r="G219" s="516"/>
      <c r="H219" s="517"/>
      <c r="J219" s="515"/>
      <c r="K219" s="516"/>
      <c r="L219" s="516"/>
      <c r="M219" s="516"/>
      <c r="N219" s="516"/>
      <c r="O219" s="516"/>
      <c r="P219" s="517"/>
    </row>
    <row r="220" spans="2:16" x14ac:dyDescent="0.3">
      <c r="B220" s="515"/>
      <c r="C220" s="516"/>
      <c r="D220" s="516"/>
      <c r="E220" s="516"/>
      <c r="F220" s="516"/>
      <c r="G220" s="516"/>
      <c r="H220" s="517"/>
      <c r="J220" s="515"/>
      <c r="K220" s="516"/>
      <c r="L220" s="516"/>
      <c r="M220" s="516"/>
      <c r="N220" s="516"/>
      <c r="O220" s="516"/>
      <c r="P220" s="517"/>
    </row>
    <row r="221" spans="2:16" x14ac:dyDescent="0.3">
      <c r="B221" s="515"/>
      <c r="C221" s="516"/>
      <c r="D221" s="516"/>
      <c r="E221" s="516"/>
      <c r="F221" s="516"/>
      <c r="G221" s="516"/>
      <c r="H221" s="517"/>
      <c r="J221" s="515"/>
      <c r="K221" s="516"/>
      <c r="L221" s="516"/>
      <c r="M221" s="516"/>
      <c r="N221" s="516"/>
      <c r="O221" s="516"/>
      <c r="P221" s="517"/>
    </row>
    <row r="222" spans="2:16" x14ac:dyDescent="0.3">
      <c r="B222" s="515"/>
      <c r="C222" s="516"/>
      <c r="D222" s="516"/>
      <c r="E222" s="516"/>
      <c r="F222" s="516"/>
      <c r="G222" s="516"/>
      <c r="H222" s="517"/>
      <c r="J222" s="515"/>
      <c r="K222" s="516"/>
      <c r="L222" s="516"/>
      <c r="M222" s="516"/>
      <c r="N222" s="516"/>
      <c r="O222" s="516"/>
      <c r="P222" s="517"/>
    </row>
    <row r="223" spans="2:16" x14ac:dyDescent="0.3">
      <c r="B223" s="515"/>
      <c r="C223" s="516"/>
      <c r="D223" s="516"/>
      <c r="E223" s="516"/>
      <c r="F223" s="516"/>
      <c r="G223" s="516"/>
      <c r="H223" s="517"/>
      <c r="J223" s="515"/>
      <c r="K223" s="516"/>
      <c r="L223" s="516"/>
      <c r="M223" s="516"/>
      <c r="N223" s="516"/>
      <c r="O223" s="516"/>
      <c r="P223" s="517"/>
    </row>
    <row r="224" spans="2:16" x14ac:dyDescent="0.3">
      <c r="B224" s="515"/>
      <c r="C224" s="516"/>
      <c r="D224" s="516"/>
      <c r="E224" s="516"/>
      <c r="F224" s="516"/>
      <c r="G224" s="516"/>
      <c r="H224" s="517"/>
      <c r="J224" s="515"/>
      <c r="K224" s="516"/>
      <c r="L224" s="516"/>
      <c r="M224" s="516"/>
      <c r="N224" s="516"/>
      <c r="O224" s="516"/>
      <c r="P224" s="517"/>
    </row>
    <row r="225" spans="2:16" x14ac:dyDescent="0.3">
      <c r="B225" s="518"/>
      <c r="C225" s="519"/>
      <c r="D225" s="519"/>
      <c r="E225" s="519"/>
      <c r="F225" s="519"/>
      <c r="G225" s="519"/>
      <c r="H225" s="520"/>
      <c r="J225" s="518"/>
      <c r="K225" s="519"/>
      <c r="L225" s="519"/>
      <c r="M225" s="519"/>
      <c r="N225" s="519"/>
      <c r="O225" s="519"/>
      <c r="P225" s="520"/>
    </row>
    <row r="226" spans="2:16" ht="49.95" customHeight="1" x14ac:dyDescent="0.3">
      <c r="B226" s="107"/>
      <c r="C226" s="511" t="e">
        <f>VLOOKUP(B226,'Orçamento Sintético'!A:J,4,0)</f>
        <v>#N/A</v>
      </c>
      <c r="D226" s="511"/>
      <c r="E226" s="511"/>
      <c r="F226" s="511"/>
      <c r="G226" s="511"/>
      <c r="H226" s="511"/>
      <c r="J226" s="107"/>
      <c r="K226" s="511" t="e">
        <f>VLOOKUP(J226,'Orçamento Sintético'!A:J,4,0)</f>
        <v>#N/A</v>
      </c>
      <c r="L226" s="511"/>
      <c r="M226" s="511"/>
      <c r="N226" s="511"/>
      <c r="O226" s="511"/>
      <c r="P226" s="511"/>
    </row>
    <row r="227" spans="2:16" x14ac:dyDescent="0.3">
      <c r="B227" s="512"/>
      <c r="C227" s="513"/>
      <c r="D227" s="513"/>
      <c r="E227" s="513"/>
      <c r="F227" s="513"/>
      <c r="G227" s="513"/>
      <c r="H227" s="514"/>
      <c r="J227" s="512"/>
      <c r="K227" s="513"/>
      <c r="L227" s="513"/>
      <c r="M227" s="513"/>
      <c r="N227" s="513"/>
      <c r="O227" s="513"/>
      <c r="P227" s="514"/>
    </row>
    <row r="228" spans="2:16" x14ac:dyDescent="0.3">
      <c r="B228" s="515"/>
      <c r="C228" s="516"/>
      <c r="D228" s="516"/>
      <c r="E228" s="516"/>
      <c r="F228" s="516"/>
      <c r="G228" s="516"/>
      <c r="H228" s="517"/>
      <c r="J228" s="515"/>
      <c r="K228" s="516"/>
      <c r="L228" s="516"/>
      <c r="M228" s="516"/>
      <c r="N228" s="516"/>
      <c r="O228" s="516"/>
      <c r="P228" s="517"/>
    </row>
    <row r="229" spans="2:16" x14ac:dyDescent="0.3">
      <c r="B229" s="515"/>
      <c r="C229" s="516"/>
      <c r="D229" s="516"/>
      <c r="E229" s="516"/>
      <c r="F229" s="516"/>
      <c r="G229" s="516"/>
      <c r="H229" s="517"/>
      <c r="J229" s="515"/>
      <c r="K229" s="516"/>
      <c r="L229" s="516"/>
      <c r="M229" s="516"/>
      <c r="N229" s="516"/>
      <c r="O229" s="516"/>
      <c r="P229" s="517"/>
    </row>
    <row r="230" spans="2:16" x14ac:dyDescent="0.3">
      <c r="B230" s="515"/>
      <c r="C230" s="516"/>
      <c r="D230" s="516"/>
      <c r="E230" s="516"/>
      <c r="F230" s="516"/>
      <c r="G230" s="516"/>
      <c r="H230" s="517"/>
      <c r="J230" s="515"/>
      <c r="K230" s="516"/>
      <c r="L230" s="516"/>
      <c r="M230" s="516"/>
      <c r="N230" s="516"/>
      <c r="O230" s="516"/>
      <c r="P230" s="517"/>
    </row>
    <row r="231" spans="2:16" x14ac:dyDescent="0.3">
      <c r="B231" s="515"/>
      <c r="C231" s="516"/>
      <c r="D231" s="516"/>
      <c r="E231" s="516"/>
      <c r="F231" s="516"/>
      <c r="G231" s="516"/>
      <c r="H231" s="517"/>
      <c r="J231" s="515"/>
      <c r="K231" s="516"/>
      <c r="L231" s="516"/>
      <c r="M231" s="516"/>
      <c r="N231" s="516"/>
      <c r="O231" s="516"/>
      <c r="P231" s="517"/>
    </row>
    <row r="232" spans="2:16" x14ac:dyDescent="0.3">
      <c r="B232" s="515"/>
      <c r="C232" s="516"/>
      <c r="D232" s="516"/>
      <c r="E232" s="516"/>
      <c r="F232" s="516"/>
      <c r="G232" s="516"/>
      <c r="H232" s="517"/>
      <c r="J232" s="515"/>
      <c r="K232" s="516"/>
      <c r="L232" s="516"/>
      <c r="M232" s="516"/>
      <c r="N232" s="516"/>
      <c r="O232" s="516"/>
      <c r="P232" s="517"/>
    </row>
    <row r="233" spans="2:16" x14ac:dyDescent="0.3">
      <c r="B233" s="515"/>
      <c r="C233" s="516"/>
      <c r="D233" s="516"/>
      <c r="E233" s="516"/>
      <c r="F233" s="516"/>
      <c r="G233" s="516"/>
      <c r="H233" s="517"/>
      <c r="J233" s="515"/>
      <c r="K233" s="516"/>
      <c r="L233" s="516"/>
      <c r="M233" s="516"/>
      <c r="N233" s="516"/>
      <c r="O233" s="516"/>
      <c r="P233" s="517"/>
    </row>
    <row r="234" spans="2:16" x14ac:dyDescent="0.3">
      <c r="B234" s="515"/>
      <c r="C234" s="516"/>
      <c r="D234" s="516"/>
      <c r="E234" s="516"/>
      <c r="F234" s="516"/>
      <c r="G234" s="516"/>
      <c r="H234" s="517"/>
      <c r="J234" s="515"/>
      <c r="K234" s="516"/>
      <c r="L234" s="516"/>
      <c r="M234" s="516"/>
      <c r="N234" s="516"/>
      <c r="O234" s="516"/>
      <c r="P234" s="517"/>
    </row>
    <row r="235" spans="2:16" x14ac:dyDescent="0.3">
      <c r="B235" s="515"/>
      <c r="C235" s="516"/>
      <c r="D235" s="516"/>
      <c r="E235" s="516"/>
      <c r="F235" s="516"/>
      <c r="G235" s="516"/>
      <c r="H235" s="517"/>
      <c r="J235" s="515"/>
      <c r="K235" s="516"/>
      <c r="L235" s="516"/>
      <c r="M235" s="516"/>
      <c r="N235" s="516"/>
      <c r="O235" s="516"/>
      <c r="P235" s="517"/>
    </row>
    <row r="236" spans="2:16" x14ac:dyDescent="0.3">
      <c r="B236" s="515"/>
      <c r="C236" s="516"/>
      <c r="D236" s="516"/>
      <c r="E236" s="516"/>
      <c r="F236" s="516"/>
      <c r="G236" s="516"/>
      <c r="H236" s="517"/>
      <c r="J236" s="515"/>
      <c r="K236" s="516"/>
      <c r="L236" s="516"/>
      <c r="M236" s="516"/>
      <c r="N236" s="516"/>
      <c r="O236" s="516"/>
      <c r="P236" s="517"/>
    </row>
    <row r="237" spans="2:16" x14ac:dyDescent="0.3">
      <c r="B237" s="518"/>
      <c r="C237" s="519"/>
      <c r="D237" s="519"/>
      <c r="E237" s="519"/>
      <c r="F237" s="519"/>
      <c r="G237" s="519"/>
      <c r="H237" s="520"/>
      <c r="J237" s="518"/>
      <c r="K237" s="519"/>
      <c r="L237" s="519"/>
      <c r="M237" s="519"/>
      <c r="N237" s="519"/>
      <c r="O237" s="519"/>
      <c r="P237" s="520"/>
    </row>
    <row r="238" spans="2:16" ht="49.95" customHeight="1" x14ac:dyDescent="0.3">
      <c r="B238" s="107"/>
      <c r="C238" s="511" t="e">
        <f>VLOOKUP(B238,'Orçamento Sintético'!A:J,4,0)</f>
        <v>#N/A</v>
      </c>
      <c r="D238" s="511"/>
      <c r="E238" s="511"/>
      <c r="F238" s="511"/>
      <c r="G238" s="511"/>
      <c r="H238" s="511"/>
      <c r="J238" s="107"/>
      <c r="K238" s="511" t="e">
        <f>VLOOKUP(J238,'Orçamento Sintético'!A:J,4,0)</f>
        <v>#N/A</v>
      </c>
      <c r="L238" s="511"/>
      <c r="M238" s="511"/>
      <c r="N238" s="511"/>
      <c r="O238" s="511"/>
      <c r="P238" s="511"/>
    </row>
    <row r="239" spans="2:16" ht="24" customHeight="1" thickBot="1" x14ac:dyDescent="0.35">
      <c r="B239" s="107"/>
      <c r="C239" s="511"/>
      <c r="D239" s="511"/>
      <c r="E239" s="511"/>
      <c r="F239" s="511"/>
      <c r="G239" s="511"/>
      <c r="H239" s="511"/>
      <c r="J239" s="104"/>
      <c r="K239" s="104"/>
      <c r="L239" s="104"/>
      <c r="M239" s="104"/>
      <c r="N239" s="104"/>
      <c r="O239" s="104"/>
      <c r="P239" s="104"/>
    </row>
    <row r="240" spans="2:16" ht="31.95" customHeight="1" thickTop="1" x14ac:dyDescent="0.3">
      <c r="B240" s="533" t="s">
        <v>944</v>
      </c>
      <c r="C240" s="534"/>
      <c r="D240" s="534"/>
      <c r="E240" s="534"/>
      <c r="F240" s="534"/>
      <c r="G240" s="534"/>
      <c r="H240" s="535"/>
      <c r="I240" s="210"/>
      <c r="J240" s="533" t="s">
        <v>945</v>
      </c>
      <c r="K240" s="534"/>
      <c r="L240" s="534"/>
      <c r="M240" s="534"/>
      <c r="N240" s="534"/>
      <c r="O240" s="534"/>
      <c r="P240" s="535"/>
    </row>
    <row r="241" spans="2:16" ht="39" customHeight="1" x14ac:dyDescent="0.3">
      <c r="B241" s="536" t="s">
        <v>947</v>
      </c>
      <c r="C241" s="537"/>
      <c r="D241" s="537"/>
      <c r="E241" s="537"/>
      <c r="F241" s="537"/>
      <c r="G241" s="537"/>
      <c r="H241" s="538"/>
      <c r="I241" s="211"/>
      <c r="J241" s="536" t="s">
        <v>948</v>
      </c>
      <c r="K241" s="537"/>
      <c r="L241" s="537"/>
      <c r="M241" s="537"/>
      <c r="N241" s="537"/>
      <c r="O241" s="537"/>
      <c r="P241" s="538"/>
    </row>
    <row r="242" spans="2:16" ht="20.399999999999999" customHeight="1" thickBot="1" x14ac:dyDescent="0.35">
      <c r="B242" s="539"/>
      <c r="C242" s="540"/>
      <c r="D242" s="540"/>
      <c r="E242" s="540"/>
      <c r="F242" s="540"/>
      <c r="G242" s="540"/>
      <c r="H242" s="541"/>
      <c r="I242" s="212"/>
      <c r="J242" s="539"/>
      <c r="K242" s="540"/>
      <c r="L242" s="540"/>
      <c r="M242" s="540"/>
      <c r="N242" s="540"/>
      <c r="O242" s="540"/>
      <c r="P242" s="541"/>
    </row>
    <row r="243" spans="2:16" ht="15" thickTop="1" x14ac:dyDescent="0.3"/>
  </sheetData>
  <mergeCells count="83">
    <mergeCell ref="C200:H200"/>
    <mergeCell ref="K200:P200"/>
    <mergeCell ref="B202:H212"/>
    <mergeCell ref="J202:P212"/>
    <mergeCell ref="C213:H213"/>
    <mergeCell ref="K213:P213"/>
    <mergeCell ref="B176:H186"/>
    <mergeCell ref="J176:P186"/>
    <mergeCell ref="C187:H187"/>
    <mergeCell ref="K187:P187"/>
    <mergeCell ref="B189:H199"/>
    <mergeCell ref="J189:P199"/>
    <mergeCell ref="C174:H174"/>
    <mergeCell ref="K174:P174"/>
    <mergeCell ref="C158:H158"/>
    <mergeCell ref="B159:H159"/>
    <mergeCell ref="J159:P159"/>
    <mergeCell ref="B160:H161"/>
    <mergeCell ref="J160:P161"/>
    <mergeCell ref="J241:P242"/>
    <mergeCell ref="B240:H240"/>
    <mergeCell ref="B241:H242"/>
    <mergeCell ref="C239:H239"/>
    <mergeCell ref="K118:P118"/>
    <mergeCell ref="B227:H237"/>
    <mergeCell ref="J227:P237"/>
    <mergeCell ref="C238:H238"/>
    <mergeCell ref="K238:P238"/>
    <mergeCell ref="B215:H225"/>
    <mergeCell ref="J215:P225"/>
    <mergeCell ref="C226:H226"/>
    <mergeCell ref="K226:P226"/>
    <mergeCell ref="B120:H130"/>
    <mergeCell ref="J120:P130"/>
    <mergeCell ref="C131:H131"/>
    <mergeCell ref="B107:H117"/>
    <mergeCell ref="J107:P117"/>
    <mergeCell ref="C118:H118"/>
    <mergeCell ref="J240:P240"/>
    <mergeCell ref="C105:H105"/>
    <mergeCell ref="K131:P131"/>
    <mergeCell ref="B133:H143"/>
    <mergeCell ref="J133:P143"/>
    <mergeCell ref="C144:H144"/>
    <mergeCell ref="K144:P144"/>
    <mergeCell ref="B146:H156"/>
    <mergeCell ref="J146:P156"/>
    <mergeCell ref="C157:H157"/>
    <mergeCell ref="K157:P157"/>
    <mergeCell ref="B163:H173"/>
    <mergeCell ref="J163:P173"/>
    <mergeCell ref="A1:Q1"/>
    <mergeCell ref="B3:H13"/>
    <mergeCell ref="B16:H26"/>
    <mergeCell ref="J16:P26"/>
    <mergeCell ref="C14:H14"/>
    <mergeCell ref="K14:P14"/>
    <mergeCell ref="B29:H39"/>
    <mergeCell ref="J29:P39"/>
    <mergeCell ref="C27:H27"/>
    <mergeCell ref="K27:P27"/>
    <mergeCell ref="C40:H40"/>
    <mergeCell ref="K40:P40"/>
    <mergeCell ref="B42:H52"/>
    <mergeCell ref="K105:P105"/>
    <mergeCell ref="J42:P52"/>
    <mergeCell ref="B55:H65"/>
    <mergeCell ref="J55:P65"/>
    <mergeCell ref="C53:H53"/>
    <mergeCell ref="K53:P53"/>
    <mergeCell ref="C66:H66"/>
    <mergeCell ref="K66:P66"/>
    <mergeCell ref="C79:H79"/>
    <mergeCell ref="K79:P79"/>
    <mergeCell ref="B68:H78"/>
    <mergeCell ref="J68:P78"/>
    <mergeCell ref="Z70:AF70"/>
    <mergeCell ref="B81:H91"/>
    <mergeCell ref="J81:P91"/>
    <mergeCell ref="B94:H104"/>
    <mergeCell ref="J94:P104"/>
    <mergeCell ref="C92:H92"/>
    <mergeCell ref="K92:P92"/>
  </mergeCells>
  <printOptions horizontalCentered="1"/>
  <pageMargins left="0.57999999999999996" right="0.39370078740157483" top="0.39370078740157483" bottom="0.15" header="0" footer="0"/>
  <pageSetup paperSize="9" fitToHeight="0" orientation="portrait" r:id="rId1"/>
  <rowBreaks count="3" manualBreakCount="3">
    <brk id="40" max="16" man="1"/>
    <brk id="79" max="16" man="1"/>
    <brk id="118" max="1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6B61B-643F-416B-B487-A1BEBE6A2318}">
  <sheetPr>
    <outlinePr summaryBelow="0"/>
    <pageSetUpPr fitToPage="1"/>
  </sheetPr>
  <dimension ref="A1:P331"/>
  <sheetViews>
    <sheetView view="pageBreakPreview" zoomScale="70" zoomScaleNormal="70" zoomScaleSheetLayoutView="70" zoomScalePageLayoutView="55" workbookViewId="0">
      <pane ySplit="17" topLeftCell="A55" activePane="bottomLeft" state="frozen"/>
      <selection pane="bottomLeft" activeCell="J65" sqref="J65"/>
    </sheetView>
  </sheetViews>
  <sheetFormatPr defaultColWidth="8.19921875" defaultRowHeight="13.2" x14ac:dyDescent="0.25"/>
  <cols>
    <col min="1" max="1" width="8.09765625" style="175" customWidth="1"/>
    <col min="2" max="2" width="52.69921875" style="175" customWidth="1"/>
    <col min="3" max="3" width="5.3984375" style="175" customWidth="1"/>
    <col min="4" max="4" width="11.59765625" style="175" customWidth="1"/>
    <col min="5" max="5" width="14.09765625" style="175" customWidth="1"/>
    <col min="6" max="6" width="19.19921875" style="175" customWidth="1"/>
    <col min="7" max="7" width="15.69921875" style="175" customWidth="1"/>
    <col min="8" max="8" width="14.09765625" style="175" customWidth="1"/>
    <col min="9" max="9" width="15.69921875" style="175" customWidth="1"/>
    <col min="10" max="11" width="14.09765625" style="175" customWidth="1"/>
    <col min="12" max="12" width="16.19921875" style="175" customWidth="1"/>
    <col min="13" max="13" width="14.09765625" style="175" customWidth="1"/>
    <col min="14" max="14" width="15.19921875" style="175" customWidth="1"/>
    <col min="15" max="15" width="33.19921875" style="175" customWidth="1"/>
    <col min="16" max="17" width="8.19921875" style="175"/>
    <col min="18" max="18" width="23.8984375" style="175" customWidth="1"/>
    <col min="19" max="16384" width="8.19921875" style="175"/>
  </cols>
  <sheetData>
    <row r="1" spans="1:13" x14ac:dyDescent="0.25">
      <c r="A1" s="266"/>
      <c r="B1" s="266"/>
      <c r="C1" s="266"/>
      <c r="D1" s="266"/>
      <c r="E1" s="266"/>
      <c r="F1" s="266"/>
    </row>
    <row r="2" spans="1:13" ht="17.399999999999999" x14ac:dyDescent="0.25">
      <c r="A2" s="444" t="s">
        <v>877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</row>
    <row r="3" spans="1:13" x14ac:dyDescent="0.25">
      <c r="A3" s="267"/>
      <c r="B3" s="268"/>
      <c r="C3" s="267"/>
      <c r="D3" s="267"/>
      <c r="E3" s="267"/>
      <c r="F3" s="269"/>
      <c r="G3" s="267"/>
      <c r="H3" s="267"/>
      <c r="I3" s="269"/>
      <c r="J3" s="269"/>
      <c r="K3" s="270"/>
      <c r="L3" s="270"/>
      <c r="M3" s="271"/>
    </row>
    <row r="4" spans="1:13" s="277" customFormat="1" ht="15" customHeight="1" x14ac:dyDescent="0.25">
      <c r="A4" s="272" t="s">
        <v>878</v>
      </c>
      <c r="B4" s="273" t="s">
        <v>879</v>
      </c>
      <c r="C4" s="274" t="s">
        <v>880</v>
      </c>
      <c r="D4" s="275"/>
      <c r="E4" s="275"/>
      <c r="F4" s="275"/>
      <c r="G4" s="275"/>
      <c r="H4" s="274" t="s">
        <v>881</v>
      </c>
      <c r="I4" s="275"/>
      <c r="J4" s="445" t="s">
        <v>882</v>
      </c>
      <c r="K4" s="446"/>
      <c r="L4" s="274" t="s">
        <v>883</v>
      </c>
      <c r="M4" s="276">
        <v>45869</v>
      </c>
    </row>
    <row r="5" spans="1:13" x14ac:dyDescent="0.25">
      <c r="A5" s="278"/>
      <c r="B5" s="279"/>
      <c r="C5" s="280"/>
      <c r="D5" s="281"/>
      <c r="E5" s="282"/>
      <c r="F5" s="281"/>
      <c r="G5" s="282"/>
      <c r="H5" s="280"/>
      <c r="I5" s="281"/>
      <c r="J5" s="447" t="s">
        <v>884</v>
      </c>
      <c r="K5" s="448"/>
      <c r="L5" s="280"/>
      <c r="M5" s="283"/>
    </row>
    <row r="6" spans="1:13" x14ac:dyDescent="0.25">
      <c r="A6" s="267"/>
      <c r="B6" s="284"/>
      <c r="C6" s="285"/>
      <c r="D6" s="285"/>
      <c r="E6" s="285"/>
      <c r="F6" s="286"/>
      <c r="G6" s="285"/>
      <c r="H6" s="285"/>
      <c r="I6" s="285"/>
      <c r="J6" s="285"/>
      <c r="K6" s="287"/>
      <c r="L6" s="287"/>
      <c r="M6" s="288"/>
    </row>
    <row r="7" spans="1:13" s="277" customFormat="1" x14ac:dyDescent="0.25">
      <c r="A7" s="272" t="s">
        <v>885</v>
      </c>
      <c r="B7" s="273"/>
      <c r="C7" s="275"/>
      <c r="D7" s="274" t="s">
        <v>886</v>
      </c>
      <c r="E7" s="275"/>
      <c r="F7" s="274" t="s">
        <v>887</v>
      </c>
      <c r="G7" s="275"/>
      <c r="H7" s="275"/>
      <c r="I7" s="275"/>
      <c r="J7" s="274" t="s">
        <v>888</v>
      </c>
      <c r="K7" s="289"/>
      <c r="L7" s="274" t="s">
        <v>889</v>
      </c>
      <c r="M7" s="276">
        <v>45579</v>
      </c>
    </row>
    <row r="8" spans="1:13" x14ac:dyDescent="0.25">
      <c r="A8" s="278" t="s">
        <v>890</v>
      </c>
      <c r="B8" s="279"/>
      <c r="C8" s="290"/>
      <c r="D8" s="280" t="s">
        <v>891</v>
      </c>
      <c r="E8" s="282"/>
      <c r="F8" s="280"/>
      <c r="G8" s="282"/>
      <c r="H8" s="281"/>
      <c r="I8" s="290"/>
      <c r="J8" s="280"/>
      <c r="K8" s="291"/>
      <c r="L8" s="292"/>
      <c r="M8" s="283"/>
    </row>
    <row r="9" spans="1:13" x14ac:dyDescent="0.25">
      <c r="A9" s="267"/>
      <c r="B9" s="284"/>
      <c r="C9" s="285"/>
      <c r="D9" s="285"/>
      <c r="E9" s="285"/>
      <c r="F9" s="286"/>
      <c r="G9" s="285"/>
      <c r="H9" s="285"/>
      <c r="I9" s="285"/>
      <c r="J9" s="285"/>
      <c r="K9" s="287"/>
      <c r="L9" s="287"/>
      <c r="M9" s="288"/>
    </row>
    <row r="10" spans="1:13" s="277" customFormat="1" ht="39.6" x14ac:dyDescent="0.25">
      <c r="A10" s="358" t="s">
        <v>892</v>
      </c>
      <c r="B10" s="273" t="s">
        <v>893</v>
      </c>
      <c r="C10" s="293"/>
      <c r="D10" s="275"/>
      <c r="E10" s="294"/>
      <c r="F10" s="295" t="s">
        <v>894</v>
      </c>
      <c r="G10" s="275"/>
      <c r="H10" s="296" t="s">
        <v>895</v>
      </c>
      <c r="I10" s="297"/>
      <c r="J10" s="296" t="s">
        <v>896</v>
      </c>
      <c r="K10" s="297"/>
      <c r="L10" s="275" t="s">
        <v>897</v>
      </c>
      <c r="M10" s="298"/>
    </row>
    <row r="11" spans="1:13" ht="18" x14ac:dyDescent="0.25">
      <c r="A11" s="299"/>
      <c r="B11" s="300"/>
      <c r="C11" s="290"/>
      <c r="D11" s="282"/>
      <c r="E11" s="301"/>
      <c r="F11" s="302"/>
      <c r="G11" s="282"/>
      <c r="H11" s="449" t="s">
        <v>898</v>
      </c>
      <c r="I11" s="450"/>
      <c r="J11" s="451" t="s">
        <v>1112</v>
      </c>
      <c r="K11" s="452"/>
      <c r="L11" s="453" t="s">
        <v>1115</v>
      </c>
      <c r="M11" s="454"/>
    </row>
    <row r="12" spans="1:13" x14ac:dyDescent="0.25">
      <c r="A12" s="267"/>
      <c r="B12" s="284"/>
      <c r="C12" s="285"/>
      <c r="D12" s="285"/>
      <c r="E12" s="285"/>
      <c r="F12" s="286"/>
      <c r="G12" s="285"/>
      <c r="H12" s="285"/>
      <c r="I12" s="285"/>
      <c r="J12" s="285"/>
      <c r="K12" s="287"/>
      <c r="L12" s="287"/>
      <c r="M12" s="288"/>
    </row>
    <row r="13" spans="1:13" s="277" customFormat="1" x14ac:dyDescent="0.25">
      <c r="A13" s="272" t="s">
        <v>899</v>
      </c>
      <c r="B13" s="435" t="s">
        <v>900</v>
      </c>
      <c r="C13" s="435"/>
      <c r="D13" s="435"/>
      <c r="E13" s="436"/>
      <c r="F13" s="274" t="s">
        <v>901</v>
      </c>
      <c r="G13" s="289"/>
      <c r="H13" s="274" t="s">
        <v>902</v>
      </c>
      <c r="I13" s="289"/>
      <c r="J13" s="274" t="s">
        <v>903</v>
      </c>
      <c r="K13" s="303"/>
      <c r="L13" s="274" t="s">
        <v>904</v>
      </c>
      <c r="M13" s="298"/>
    </row>
    <row r="14" spans="1:13" ht="15.6" x14ac:dyDescent="0.25">
      <c r="A14" s="304"/>
      <c r="B14" s="305"/>
      <c r="C14" s="305"/>
      <c r="D14" s="305"/>
      <c r="E14" s="306"/>
      <c r="F14" s="437">
        <f>F316</f>
        <v>1401000.0039999997</v>
      </c>
      <c r="G14" s="438"/>
      <c r="H14" s="439">
        <f>K324</f>
        <v>102090.55967999999</v>
      </c>
      <c r="I14" s="440"/>
      <c r="J14" s="437">
        <f>L316</f>
        <v>342916.08367999998</v>
      </c>
      <c r="K14" s="438"/>
      <c r="L14" s="437">
        <f>F14-J14</f>
        <v>1058083.9203199998</v>
      </c>
      <c r="M14" s="438"/>
    </row>
    <row r="15" spans="1:13" x14ac:dyDescent="0.25">
      <c r="A15" s="266"/>
      <c r="B15" s="266"/>
      <c r="C15" s="266"/>
      <c r="D15" s="266"/>
      <c r="E15" s="266"/>
      <c r="F15" s="266"/>
    </row>
    <row r="16" spans="1:13" s="110" customFormat="1" ht="33" customHeight="1" x14ac:dyDescent="0.25">
      <c r="A16" s="109" t="s">
        <v>905</v>
      </c>
      <c r="B16" s="109" t="s">
        <v>906</v>
      </c>
      <c r="C16" s="434" t="s">
        <v>907</v>
      </c>
      <c r="D16" s="434"/>
      <c r="E16" s="434"/>
      <c r="F16" s="434"/>
      <c r="G16" s="434" t="s">
        <v>908</v>
      </c>
      <c r="H16" s="434"/>
      <c r="I16" s="434"/>
      <c r="J16" s="434" t="s">
        <v>909</v>
      </c>
      <c r="K16" s="434"/>
      <c r="L16" s="434"/>
      <c r="M16" s="432" t="s">
        <v>910</v>
      </c>
    </row>
    <row r="17" spans="1:16" s="112" customFormat="1" ht="24" customHeight="1" x14ac:dyDescent="0.25">
      <c r="A17" s="111"/>
      <c r="B17" s="111"/>
      <c r="C17" s="111" t="s">
        <v>911</v>
      </c>
      <c r="D17" s="111" t="s">
        <v>567</v>
      </c>
      <c r="E17" s="111" t="s">
        <v>912</v>
      </c>
      <c r="F17" s="111" t="s">
        <v>913</v>
      </c>
      <c r="G17" s="111" t="s">
        <v>914</v>
      </c>
      <c r="H17" s="111" t="s">
        <v>915</v>
      </c>
      <c r="I17" s="111" t="s">
        <v>916</v>
      </c>
      <c r="J17" s="111" t="s">
        <v>914</v>
      </c>
      <c r="K17" s="111" t="s">
        <v>915</v>
      </c>
      <c r="L17" s="111" t="s">
        <v>916</v>
      </c>
      <c r="M17" s="433"/>
      <c r="N17" s="361">
        <f>L323</f>
        <v>0</v>
      </c>
    </row>
    <row r="18" spans="1:16" x14ac:dyDescent="0.25">
      <c r="A18" s="307"/>
      <c r="B18" s="307"/>
      <c r="C18" s="307"/>
      <c r="D18" s="307"/>
      <c r="E18" s="307"/>
      <c r="F18" s="307"/>
      <c r="G18" s="308"/>
      <c r="H18" s="308"/>
      <c r="I18" s="308"/>
      <c r="J18" s="308"/>
      <c r="K18" s="308"/>
      <c r="L18" s="308"/>
      <c r="M18" s="308"/>
    </row>
    <row r="19" spans="1:16" ht="30.75" customHeight="1" x14ac:dyDescent="0.25">
      <c r="A19" s="113" t="s">
        <v>917</v>
      </c>
      <c r="B19" s="114" t="s">
        <v>20</v>
      </c>
      <c r="C19" s="115"/>
      <c r="D19" s="328"/>
      <c r="E19" s="329"/>
      <c r="F19" s="330">
        <f>SUM(F20:F29)</f>
        <v>73151.733999999997</v>
      </c>
      <c r="G19" s="116"/>
      <c r="H19" s="116"/>
      <c r="I19" s="116"/>
      <c r="J19" s="117">
        <f>SUM(J20:J29)</f>
        <v>73151.733999999997</v>
      </c>
      <c r="K19" s="117">
        <f>SUM(K20:K29)</f>
        <v>0</v>
      </c>
      <c r="L19" s="117">
        <f>SUM(L20:L29)</f>
        <v>73151.733999999997</v>
      </c>
      <c r="M19" s="118">
        <f>L19/F19</f>
        <v>1</v>
      </c>
    </row>
    <row r="20" spans="1:16" ht="26.4" x14ac:dyDescent="0.25">
      <c r="A20" s="119" t="s">
        <v>597</v>
      </c>
      <c r="B20" s="309" t="s">
        <v>23</v>
      </c>
      <c r="C20" s="310" t="s">
        <v>24</v>
      </c>
      <c r="D20" s="324">
        <v>10</v>
      </c>
      <c r="E20" s="324">
        <v>311.37</v>
      </c>
      <c r="F20" s="331">
        <f>E20*D20</f>
        <v>3113.7</v>
      </c>
      <c r="G20" s="121">
        <v>10</v>
      </c>
      <c r="H20" s="121"/>
      <c r="I20" s="121">
        <v>10</v>
      </c>
      <c r="J20" s="121">
        <f>G20*E20</f>
        <v>3113.7</v>
      </c>
      <c r="K20" s="121">
        <f>TRUNC(E20*H20,2)</f>
        <v>0</v>
      </c>
      <c r="L20" s="121">
        <f>J20+K20</f>
        <v>3113.7</v>
      </c>
      <c r="M20" s="122">
        <f>L20/F20</f>
        <v>1</v>
      </c>
      <c r="N20" s="179">
        <f>D20-I20</f>
        <v>0</v>
      </c>
    </row>
    <row r="21" spans="1:16" ht="24.75" customHeight="1" x14ac:dyDescent="0.25">
      <c r="A21" s="123" t="s">
        <v>600</v>
      </c>
      <c r="B21" s="309" t="s">
        <v>27</v>
      </c>
      <c r="C21" s="310" t="s">
        <v>24</v>
      </c>
      <c r="D21" s="324">
        <v>176</v>
      </c>
      <c r="E21" s="324">
        <v>92.8</v>
      </c>
      <c r="F21" s="331">
        <f t="shared" ref="F21:F29" si="0">E21*D21</f>
        <v>16332.8</v>
      </c>
      <c r="G21" s="121">
        <v>176</v>
      </c>
      <c r="H21" s="121"/>
      <c r="I21" s="121">
        <v>176</v>
      </c>
      <c r="J21" s="121">
        <f t="shared" ref="J21:J29" si="1">G21*E21</f>
        <v>16332.8</v>
      </c>
      <c r="K21" s="121">
        <f t="shared" ref="K21:K34" si="2">TRUNC(E21*H21,2)</f>
        <v>0</v>
      </c>
      <c r="L21" s="121">
        <f t="shared" ref="L21:L29" si="3">J21+K21</f>
        <v>16332.8</v>
      </c>
      <c r="M21" s="122">
        <f t="shared" ref="M21:M29" si="4">L21/F21</f>
        <v>1</v>
      </c>
      <c r="N21" s="215">
        <f>D21-I21</f>
        <v>0</v>
      </c>
    </row>
    <row r="22" spans="1:16" ht="26.4" x14ac:dyDescent="0.25">
      <c r="A22" s="218" t="s">
        <v>598</v>
      </c>
      <c r="B22" s="309" t="s">
        <v>30</v>
      </c>
      <c r="C22" s="310" t="s">
        <v>31</v>
      </c>
      <c r="D22" s="324">
        <v>1</v>
      </c>
      <c r="E22" s="324">
        <v>1140.8499999999999</v>
      </c>
      <c r="F22" s="331">
        <f t="shared" si="0"/>
        <v>1140.8499999999999</v>
      </c>
      <c r="G22" s="121">
        <v>1</v>
      </c>
      <c r="H22" s="121"/>
      <c r="I22" s="121">
        <f t="shared" ref="I22:I29" si="5">G22+H22</f>
        <v>1</v>
      </c>
      <c r="J22" s="121">
        <f t="shared" si="1"/>
        <v>1140.8499999999999</v>
      </c>
      <c r="K22" s="121">
        <f t="shared" si="2"/>
        <v>0</v>
      </c>
      <c r="L22" s="121">
        <f t="shared" si="3"/>
        <v>1140.8499999999999</v>
      </c>
      <c r="M22" s="122">
        <f t="shared" si="4"/>
        <v>1</v>
      </c>
      <c r="N22" s="179">
        <f t="shared" ref="N22:N34" si="6">D22-I22</f>
        <v>0</v>
      </c>
    </row>
    <row r="23" spans="1:16" ht="39.6" x14ac:dyDescent="0.25">
      <c r="A23" s="218" t="s">
        <v>601</v>
      </c>
      <c r="B23" s="309" t="s">
        <v>33</v>
      </c>
      <c r="C23" s="310" t="s">
        <v>31</v>
      </c>
      <c r="D23" s="324">
        <v>1</v>
      </c>
      <c r="E23" s="324">
        <v>4511.1899999999996</v>
      </c>
      <c r="F23" s="331">
        <f t="shared" si="0"/>
        <v>4511.1899999999996</v>
      </c>
      <c r="G23" s="124">
        <v>1</v>
      </c>
      <c r="H23" s="124"/>
      <c r="I23" s="121">
        <f t="shared" si="5"/>
        <v>1</v>
      </c>
      <c r="J23" s="121">
        <f t="shared" si="1"/>
        <v>4511.1899999999996</v>
      </c>
      <c r="K23" s="124">
        <f t="shared" si="2"/>
        <v>0</v>
      </c>
      <c r="L23" s="121">
        <f t="shared" si="3"/>
        <v>4511.1899999999996</v>
      </c>
      <c r="M23" s="122">
        <f t="shared" si="4"/>
        <v>1</v>
      </c>
      <c r="N23" s="215">
        <f>D23-I23</f>
        <v>0</v>
      </c>
    </row>
    <row r="24" spans="1:16" x14ac:dyDescent="0.25">
      <c r="A24" s="218" t="s">
        <v>599</v>
      </c>
      <c r="B24" s="309" t="s">
        <v>35</v>
      </c>
      <c r="C24" s="310" t="s">
        <v>31</v>
      </c>
      <c r="D24" s="324">
        <v>1</v>
      </c>
      <c r="E24" s="324">
        <v>4397.6099999999997</v>
      </c>
      <c r="F24" s="331">
        <f t="shared" si="0"/>
        <v>4397.6099999999997</v>
      </c>
      <c r="G24" s="124">
        <v>1</v>
      </c>
      <c r="H24" s="124"/>
      <c r="I24" s="121">
        <f t="shared" si="5"/>
        <v>1</v>
      </c>
      <c r="J24" s="121">
        <f t="shared" si="1"/>
        <v>4397.6099999999997</v>
      </c>
      <c r="K24" s="124">
        <f t="shared" si="2"/>
        <v>0</v>
      </c>
      <c r="L24" s="121">
        <f t="shared" si="3"/>
        <v>4397.6099999999997</v>
      </c>
      <c r="M24" s="122">
        <f t="shared" si="4"/>
        <v>1</v>
      </c>
      <c r="N24" s="179">
        <f t="shared" si="6"/>
        <v>0</v>
      </c>
    </row>
    <row r="25" spans="1:16" ht="39.6" x14ac:dyDescent="0.25">
      <c r="A25" s="218" t="s">
        <v>602</v>
      </c>
      <c r="B25" s="309" t="s">
        <v>37</v>
      </c>
      <c r="C25" s="310" t="s">
        <v>24</v>
      </c>
      <c r="D25" s="324">
        <v>2.52</v>
      </c>
      <c r="E25" s="324">
        <v>831.62</v>
      </c>
      <c r="F25" s="331">
        <f t="shared" si="0"/>
        <v>2095.6824000000001</v>
      </c>
      <c r="G25" s="124">
        <v>2.52</v>
      </c>
      <c r="H25" s="124"/>
      <c r="I25" s="121">
        <f t="shared" si="5"/>
        <v>2.52</v>
      </c>
      <c r="J25" s="121">
        <f t="shared" si="1"/>
        <v>2095.6824000000001</v>
      </c>
      <c r="K25" s="124">
        <f t="shared" si="2"/>
        <v>0</v>
      </c>
      <c r="L25" s="121">
        <f t="shared" si="3"/>
        <v>2095.6824000000001</v>
      </c>
      <c r="M25" s="122">
        <f t="shared" si="4"/>
        <v>1</v>
      </c>
      <c r="N25" s="179">
        <f t="shared" si="6"/>
        <v>0</v>
      </c>
    </row>
    <row r="26" spans="1:16" ht="39.6" x14ac:dyDescent="0.25">
      <c r="A26" s="123" t="s">
        <v>603</v>
      </c>
      <c r="B26" s="309" t="s">
        <v>39</v>
      </c>
      <c r="C26" s="310" t="s">
        <v>24</v>
      </c>
      <c r="D26" s="324">
        <v>20</v>
      </c>
      <c r="E26" s="324">
        <v>893.23</v>
      </c>
      <c r="F26" s="331">
        <f t="shared" si="0"/>
        <v>17864.599999999999</v>
      </c>
      <c r="G26" s="124">
        <v>20</v>
      </c>
      <c r="H26" s="124"/>
      <c r="I26" s="121">
        <f t="shared" si="5"/>
        <v>20</v>
      </c>
      <c r="J26" s="121">
        <f t="shared" si="1"/>
        <v>17864.599999999999</v>
      </c>
      <c r="K26" s="124">
        <f t="shared" si="2"/>
        <v>0</v>
      </c>
      <c r="L26" s="121">
        <f t="shared" si="3"/>
        <v>17864.599999999999</v>
      </c>
      <c r="M26" s="122">
        <f t="shared" si="4"/>
        <v>1</v>
      </c>
      <c r="N26" s="179">
        <f t="shared" si="6"/>
        <v>0</v>
      </c>
    </row>
    <row r="27" spans="1:16" ht="39.6" x14ac:dyDescent="0.25">
      <c r="A27" s="123" t="s">
        <v>604</v>
      </c>
      <c r="B27" s="309" t="s">
        <v>41</v>
      </c>
      <c r="C27" s="310" t="s">
        <v>24</v>
      </c>
      <c r="D27" s="324">
        <v>20</v>
      </c>
      <c r="E27" s="324">
        <v>732.78</v>
      </c>
      <c r="F27" s="331">
        <f t="shared" si="0"/>
        <v>14655.599999999999</v>
      </c>
      <c r="G27" s="124">
        <v>20</v>
      </c>
      <c r="H27" s="124"/>
      <c r="I27" s="121">
        <f t="shared" si="5"/>
        <v>20</v>
      </c>
      <c r="J27" s="121">
        <f t="shared" si="1"/>
        <v>14655.599999999999</v>
      </c>
      <c r="K27" s="124">
        <f t="shared" si="2"/>
        <v>0</v>
      </c>
      <c r="L27" s="121">
        <f t="shared" si="3"/>
        <v>14655.599999999999</v>
      </c>
      <c r="M27" s="122">
        <f t="shared" si="4"/>
        <v>1</v>
      </c>
      <c r="N27" s="179">
        <f t="shared" si="6"/>
        <v>0</v>
      </c>
    </row>
    <row r="28" spans="1:16" ht="22.5" customHeight="1" x14ac:dyDescent="0.25">
      <c r="A28" s="218" t="s">
        <v>605</v>
      </c>
      <c r="B28" s="309" t="s">
        <v>43</v>
      </c>
      <c r="C28" s="310" t="s">
        <v>24</v>
      </c>
      <c r="D28" s="324">
        <v>1129.6400000000001</v>
      </c>
      <c r="E28" s="324">
        <v>6.94</v>
      </c>
      <c r="F28" s="331">
        <f t="shared" si="0"/>
        <v>7839.7016000000012</v>
      </c>
      <c r="G28" s="124">
        <v>1129.6400000000001</v>
      </c>
      <c r="H28" s="125">
        <f>D28-G28</f>
        <v>0</v>
      </c>
      <c r="I28" s="121">
        <f t="shared" si="5"/>
        <v>1129.6400000000001</v>
      </c>
      <c r="J28" s="121">
        <f t="shared" si="1"/>
        <v>7839.7016000000012</v>
      </c>
      <c r="K28" s="124">
        <f t="shared" si="2"/>
        <v>0</v>
      </c>
      <c r="L28" s="125">
        <f>(J28+K28)</f>
        <v>7839.7016000000012</v>
      </c>
      <c r="M28" s="122">
        <f t="shared" si="4"/>
        <v>1</v>
      </c>
      <c r="N28" s="179">
        <f t="shared" si="6"/>
        <v>0</v>
      </c>
      <c r="P28" s="322" t="s">
        <v>1082</v>
      </c>
    </row>
    <row r="29" spans="1:16" ht="39.6" x14ac:dyDescent="0.25">
      <c r="A29" s="123" t="s">
        <v>606</v>
      </c>
      <c r="B29" s="309" t="s">
        <v>45</v>
      </c>
      <c r="C29" s="310" t="s">
        <v>24</v>
      </c>
      <c r="D29" s="324">
        <v>4000</v>
      </c>
      <c r="E29" s="324">
        <v>0.3</v>
      </c>
      <c r="F29" s="331">
        <f t="shared" si="0"/>
        <v>1200</v>
      </c>
      <c r="G29" s="124">
        <v>4000</v>
      </c>
      <c r="H29" s="124"/>
      <c r="I29" s="121">
        <f t="shared" si="5"/>
        <v>4000</v>
      </c>
      <c r="J29" s="121">
        <f t="shared" si="1"/>
        <v>1200</v>
      </c>
      <c r="K29" s="124">
        <f t="shared" si="2"/>
        <v>0</v>
      </c>
      <c r="L29" s="121">
        <f t="shared" si="3"/>
        <v>1200</v>
      </c>
      <c r="M29" s="122">
        <f t="shared" si="4"/>
        <v>1</v>
      </c>
      <c r="N29" s="215">
        <f>D29-I29</f>
        <v>0</v>
      </c>
    </row>
    <row r="30" spans="1:16" ht="30" customHeight="1" x14ac:dyDescent="0.25">
      <c r="A30" s="126" t="s">
        <v>918</v>
      </c>
      <c r="B30" s="313" t="s">
        <v>47</v>
      </c>
      <c r="C30" s="127"/>
      <c r="D30" s="332"/>
      <c r="E30" s="333"/>
      <c r="F30" s="330">
        <f>SUM(F31:F34)</f>
        <v>31327.78</v>
      </c>
      <c r="G30" s="128"/>
      <c r="H30" s="128"/>
      <c r="I30" s="128"/>
      <c r="J30" s="117">
        <f>SUM(J31:J34)</f>
        <v>31327.78</v>
      </c>
      <c r="K30" s="117">
        <f>SUM(K31:K34)</f>
        <v>0</v>
      </c>
      <c r="L30" s="117">
        <f>SUM(L31:L34)</f>
        <v>31327.78</v>
      </c>
      <c r="M30" s="314">
        <f>L30/F30</f>
        <v>1</v>
      </c>
    </row>
    <row r="31" spans="1:16" s="141" customFormat="1" ht="30" customHeight="1" x14ac:dyDescent="0.25">
      <c r="A31" s="140" t="s">
        <v>619</v>
      </c>
      <c r="B31" s="309" t="s">
        <v>49</v>
      </c>
      <c r="C31" s="310" t="s">
        <v>50</v>
      </c>
      <c r="D31" s="324">
        <v>168.5</v>
      </c>
      <c r="E31" s="324">
        <v>66.13</v>
      </c>
      <c r="F31" s="324">
        <v>11142.9</v>
      </c>
      <c r="G31" s="124">
        <v>168.5</v>
      </c>
      <c r="H31" s="124"/>
      <c r="I31" s="121">
        <f t="shared" ref="I31:I34" si="7">G31+H31</f>
        <v>168.5</v>
      </c>
      <c r="J31" s="124">
        <f t="shared" ref="J31:J34" si="8">TRUNC(E31*G31,2)</f>
        <v>11142.9</v>
      </c>
      <c r="K31" s="124">
        <f t="shared" si="2"/>
        <v>0</v>
      </c>
      <c r="L31" s="121">
        <f t="shared" ref="L31:L34" si="9">J31+K31</f>
        <v>11142.9</v>
      </c>
      <c r="M31" s="129">
        <f t="shared" ref="M31:M72" si="10">L31/F31</f>
        <v>1</v>
      </c>
      <c r="N31" s="265">
        <f t="shared" si="6"/>
        <v>0</v>
      </c>
      <c r="O31" s="175"/>
    </row>
    <row r="32" spans="1:16" s="141" customFormat="1" ht="30" customHeight="1" x14ac:dyDescent="0.25">
      <c r="A32" s="140" t="s">
        <v>620</v>
      </c>
      <c r="B32" s="309" t="s">
        <v>52</v>
      </c>
      <c r="C32" s="310" t="s">
        <v>50</v>
      </c>
      <c r="D32" s="324">
        <v>94.33</v>
      </c>
      <c r="E32" s="324">
        <v>69.08</v>
      </c>
      <c r="F32" s="324">
        <v>6516.31</v>
      </c>
      <c r="G32" s="124">
        <v>94.33</v>
      </c>
      <c r="H32" s="124"/>
      <c r="I32" s="121">
        <f t="shared" si="7"/>
        <v>94.33</v>
      </c>
      <c r="J32" s="124">
        <f t="shared" si="8"/>
        <v>6516.31</v>
      </c>
      <c r="K32" s="124">
        <f t="shared" si="2"/>
        <v>0</v>
      </c>
      <c r="L32" s="121">
        <f t="shared" si="9"/>
        <v>6516.31</v>
      </c>
      <c r="M32" s="129">
        <f t="shared" si="10"/>
        <v>1</v>
      </c>
      <c r="N32" s="265">
        <f t="shared" si="6"/>
        <v>0</v>
      </c>
      <c r="O32" s="175"/>
    </row>
    <row r="33" spans="1:16" s="141" customFormat="1" ht="26.4" x14ac:dyDescent="0.25">
      <c r="A33" s="130" t="s">
        <v>636</v>
      </c>
      <c r="B33" s="309" t="s">
        <v>49</v>
      </c>
      <c r="C33" s="310" t="s">
        <v>50</v>
      </c>
      <c r="D33" s="324">
        <v>184.58</v>
      </c>
      <c r="E33" s="324">
        <v>66.13</v>
      </c>
      <c r="F33" s="324">
        <v>12206.27</v>
      </c>
      <c r="G33" s="124">
        <v>184.58</v>
      </c>
      <c r="H33" s="124"/>
      <c r="I33" s="121">
        <f t="shared" si="7"/>
        <v>184.58</v>
      </c>
      <c r="J33" s="124">
        <f t="shared" si="8"/>
        <v>12206.27</v>
      </c>
      <c r="K33" s="124">
        <f t="shared" si="2"/>
        <v>0</v>
      </c>
      <c r="L33" s="121">
        <f t="shared" si="9"/>
        <v>12206.27</v>
      </c>
      <c r="M33" s="129">
        <f t="shared" si="10"/>
        <v>1</v>
      </c>
      <c r="N33" s="265">
        <f t="shared" si="6"/>
        <v>0</v>
      </c>
      <c r="O33" s="175"/>
    </row>
    <row r="34" spans="1:16" s="141" customFormat="1" ht="26.4" x14ac:dyDescent="0.25">
      <c r="A34" s="130" t="s">
        <v>637</v>
      </c>
      <c r="B34" s="309" t="s">
        <v>54</v>
      </c>
      <c r="C34" s="310" t="s">
        <v>50</v>
      </c>
      <c r="D34" s="324">
        <v>55.58</v>
      </c>
      <c r="E34" s="324">
        <v>26.31</v>
      </c>
      <c r="F34" s="324">
        <v>1462.3</v>
      </c>
      <c r="G34" s="124">
        <v>55.58</v>
      </c>
      <c r="H34" s="124"/>
      <c r="I34" s="121">
        <f t="shared" si="7"/>
        <v>55.58</v>
      </c>
      <c r="J34" s="124">
        <f t="shared" si="8"/>
        <v>1462.3</v>
      </c>
      <c r="K34" s="124">
        <f t="shared" si="2"/>
        <v>0</v>
      </c>
      <c r="L34" s="121">
        <f t="shared" si="9"/>
        <v>1462.3</v>
      </c>
      <c r="M34" s="129">
        <f t="shared" si="10"/>
        <v>1</v>
      </c>
      <c r="N34" s="265">
        <f t="shared" si="6"/>
        <v>0</v>
      </c>
      <c r="O34" s="175"/>
    </row>
    <row r="35" spans="1:16" ht="24.75" customHeight="1" x14ac:dyDescent="0.25">
      <c r="A35" s="131">
        <v>3</v>
      </c>
      <c r="B35" s="132" t="s">
        <v>919</v>
      </c>
      <c r="C35" s="132"/>
      <c r="D35" s="333"/>
      <c r="E35" s="333"/>
      <c r="F35" s="334">
        <f>F36+F45+F52</f>
        <v>110557.96</v>
      </c>
      <c r="G35" s="128"/>
      <c r="H35" s="128"/>
      <c r="I35" s="128"/>
      <c r="J35" s="334">
        <f>J36+J45+J52</f>
        <v>102231.26000000001</v>
      </c>
      <c r="K35" s="117">
        <f>K36+K45+K52</f>
        <v>525.99999999999989</v>
      </c>
      <c r="L35" s="334">
        <f>L36+L45+L52</f>
        <v>102757.26000000001</v>
      </c>
      <c r="M35" s="314">
        <f>L35/F35</f>
        <v>0.92944243906092339</v>
      </c>
      <c r="O35" s="315"/>
    </row>
    <row r="36" spans="1:16" s="141" customFormat="1" ht="27" customHeight="1" x14ac:dyDescent="0.25">
      <c r="A36" s="133" t="s">
        <v>920</v>
      </c>
      <c r="B36" s="134" t="s">
        <v>921</v>
      </c>
      <c r="C36" s="134"/>
      <c r="D36" s="335"/>
      <c r="E36" s="335"/>
      <c r="F36" s="335">
        <f>SUM(F37:F44)</f>
        <v>40612.69</v>
      </c>
      <c r="G36" s="136"/>
      <c r="H36" s="135"/>
      <c r="I36" s="137"/>
      <c r="J36" s="138">
        <f>SUM(J37:J44)-0.02</f>
        <v>40096.980000000003</v>
      </c>
      <c r="K36" s="138">
        <f>SUM(K37:K44)</f>
        <v>515.68999999999994</v>
      </c>
      <c r="L36" s="138">
        <f>SUM(L37:L44)-0.02</f>
        <v>40612.670000000006</v>
      </c>
      <c r="M36" s="139">
        <f t="shared" ref="M36" si="11">L36/F36</f>
        <v>0.99999950754308575</v>
      </c>
    </row>
    <row r="37" spans="1:16" s="141" customFormat="1" ht="26.4" x14ac:dyDescent="0.25">
      <c r="A37" s="140" t="s">
        <v>626</v>
      </c>
      <c r="B37" s="309" t="s">
        <v>60</v>
      </c>
      <c r="C37" s="310" t="s">
        <v>24</v>
      </c>
      <c r="D37" s="324">
        <v>61.88</v>
      </c>
      <c r="E37" s="324">
        <v>27.39</v>
      </c>
      <c r="F37" s="324">
        <v>1694.89</v>
      </c>
      <c r="G37" s="124">
        <v>61.88</v>
      </c>
      <c r="H37" s="124">
        <v>0</v>
      </c>
      <c r="I37" s="121">
        <f t="shared" ref="I37:I44" si="12">G37+H37</f>
        <v>61.88</v>
      </c>
      <c r="J37" s="124">
        <f t="shared" ref="J37:J44" si="13">TRUNC(E37*G37,2)</f>
        <v>1694.89</v>
      </c>
      <c r="K37" s="124">
        <f t="shared" ref="K37:K44" si="14">TRUNC(E37*H37,2)</f>
        <v>0</v>
      </c>
      <c r="L37" s="121">
        <f>(J37+K37)</f>
        <v>1694.89</v>
      </c>
      <c r="M37" s="129">
        <f t="shared" si="10"/>
        <v>1</v>
      </c>
      <c r="N37" s="265">
        <f t="shared" ref="N37:N44" si="15">D37-I37</f>
        <v>0</v>
      </c>
      <c r="O37" s="321"/>
      <c r="P37" s="409"/>
    </row>
    <row r="38" spans="1:16" s="141" customFormat="1" ht="39.6" x14ac:dyDescent="0.25">
      <c r="A38" s="140" t="s">
        <v>629</v>
      </c>
      <c r="B38" s="309" t="s">
        <v>62</v>
      </c>
      <c r="C38" s="310" t="s">
        <v>24</v>
      </c>
      <c r="D38" s="324">
        <v>165.15</v>
      </c>
      <c r="E38" s="324">
        <v>128.27000000000001</v>
      </c>
      <c r="F38" s="324">
        <v>21183.79</v>
      </c>
      <c r="G38" s="124">
        <v>165.15</v>
      </c>
      <c r="H38" s="124">
        <v>0</v>
      </c>
      <c r="I38" s="121">
        <f t="shared" si="12"/>
        <v>165.15</v>
      </c>
      <c r="J38" s="124">
        <f t="shared" si="13"/>
        <v>21183.79</v>
      </c>
      <c r="K38" s="124">
        <f t="shared" si="14"/>
        <v>0</v>
      </c>
      <c r="L38" s="121">
        <f>(J38+K38)</f>
        <v>21183.79</v>
      </c>
      <c r="M38" s="129">
        <f t="shared" si="10"/>
        <v>1</v>
      </c>
      <c r="N38" s="179">
        <f t="shared" si="15"/>
        <v>0</v>
      </c>
      <c r="O38" s="321"/>
      <c r="P38" s="409"/>
    </row>
    <row r="39" spans="1:16" s="141" customFormat="1" ht="39.6" x14ac:dyDescent="0.25">
      <c r="A39" s="130" t="s">
        <v>638</v>
      </c>
      <c r="B39" s="309" t="s">
        <v>64</v>
      </c>
      <c r="C39" s="310" t="s">
        <v>65</v>
      </c>
      <c r="D39" s="325">
        <v>6.55</v>
      </c>
      <c r="E39" s="325">
        <v>14.13</v>
      </c>
      <c r="F39" s="325">
        <v>92.55</v>
      </c>
      <c r="G39" s="124">
        <v>0</v>
      </c>
      <c r="H39" s="124">
        <v>6.55</v>
      </c>
      <c r="I39" s="121">
        <f t="shared" si="12"/>
        <v>6.55</v>
      </c>
      <c r="J39" s="124">
        <f t="shared" si="13"/>
        <v>0</v>
      </c>
      <c r="K39" s="124">
        <f t="shared" si="14"/>
        <v>92.55</v>
      </c>
      <c r="L39" s="121">
        <f t="shared" ref="L39:L44" si="16">J39+K39</f>
        <v>92.55</v>
      </c>
      <c r="M39" s="129">
        <f t="shared" si="10"/>
        <v>1</v>
      </c>
      <c r="N39" s="179">
        <f t="shared" si="15"/>
        <v>0</v>
      </c>
    </row>
    <row r="40" spans="1:16" s="141" customFormat="1" ht="39.6" x14ac:dyDescent="0.25">
      <c r="A40" s="130" t="s">
        <v>639</v>
      </c>
      <c r="B40" s="309" t="s">
        <v>67</v>
      </c>
      <c r="C40" s="310" t="s">
        <v>65</v>
      </c>
      <c r="D40" s="326">
        <v>32.450000000000003</v>
      </c>
      <c r="E40" s="326">
        <v>13.04</v>
      </c>
      <c r="F40" s="326">
        <v>423.14</v>
      </c>
      <c r="G40" s="124">
        <v>0</v>
      </c>
      <c r="H40" s="124">
        <v>32.450000000000003</v>
      </c>
      <c r="I40" s="121">
        <f t="shared" si="12"/>
        <v>32.450000000000003</v>
      </c>
      <c r="J40" s="124">
        <f t="shared" si="13"/>
        <v>0</v>
      </c>
      <c r="K40" s="124">
        <f t="shared" si="14"/>
        <v>423.14</v>
      </c>
      <c r="L40" s="121">
        <f t="shared" si="16"/>
        <v>423.14</v>
      </c>
      <c r="M40" s="129">
        <f t="shared" si="10"/>
        <v>1</v>
      </c>
      <c r="N40" s="179">
        <f t="shared" si="15"/>
        <v>0</v>
      </c>
    </row>
    <row r="41" spans="1:16" s="141" customFormat="1" ht="39.6" x14ac:dyDescent="0.25">
      <c r="A41" s="140" t="s">
        <v>631</v>
      </c>
      <c r="B41" s="309" t="s">
        <v>69</v>
      </c>
      <c r="C41" s="310" t="s">
        <v>65</v>
      </c>
      <c r="D41" s="324">
        <v>312.26</v>
      </c>
      <c r="E41" s="324">
        <v>11.49</v>
      </c>
      <c r="F41" s="324">
        <v>3587.86</v>
      </c>
      <c r="G41" s="124">
        <v>312.26</v>
      </c>
      <c r="H41" s="125"/>
      <c r="I41" s="121">
        <f t="shared" si="12"/>
        <v>312.26</v>
      </c>
      <c r="J41" s="124">
        <f t="shared" si="13"/>
        <v>3587.86</v>
      </c>
      <c r="K41" s="124">
        <f t="shared" si="14"/>
        <v>0</v>
      </c>
      <c r="L41" s="121">
        <f t="shared" si="16"/>
        <v>3587.86</v>
      </c>
      <c r="M41" s="129">
        <f t="shared" si="10"/>
        <v>1</v>
      </c>
      <c r="N41" s="179">
        <f t="shared" si="15"/>
        <v>0</v>
      </c>
      <c r="O41" s="175"/>
    </row>
    <row r="42" spans="1:16" s="141" customFormat="1" ht="39.6" x14ac:dyDescent="0.25">
      <c r="A42" s="140" t="s">
        <v>632</v>
      </c>
      <c r="B42" s="309" t="s">
        <v>71</v>
      </c>
      <c r="C42" s="310" t="s">
        <v>65</v>
      </c>
      <c r="D42" s="324">
        <v>32.64</v>
      </c>
      <c r="E42" s="324">
        <v>9.57</v>
      </c>
      <c r="F42" s="324">
        <v>312.36</v>
      </c>
      <c r="G42" s="124">
        <v>32.64</v>
      </c>
      <c r="H42" s="124"/>
      <c r="I42" s="121">
        <f>G42+H42</f>
        <v>32.64</v>
      </c>
      <c r="J42" s="124">
        <f t="shared" si="13"/>
        <v>312.36</v>
      </c>
      <c r="K42" s="124">
        <f t="shared" si="14"/>
        <v>0</v>
      </c>
      <c r="L42" s="121">
        <f t="shared" si="16"/>
        <v>312.36</v>
      </c>
      <c r="M42" s="129">
        <f t="shared" si="10"/>
        <v>1</v>
      </c>
      <c r="N42" s="179">
        <f t="shared" si="15"/>
        <v>0</v>
      </c>
      <c r="O42" s="175"/>
    </row>
    <row r="43" spans="1:16" s="141" customFormat="1" ht="39.6" x14ac:dyDescent="0.25">
      <c r="A43" s="140" t="s">
        <v>633</v>
      </c>
      <c r="B43" s="309" t="s">
        <v>73</v>
      </c>
      <c r="C43" s="310" t="s">
        <v>65</v>
      </c>
      <c r="D43" s="324">
        <v>307.55</v>
      </c>
      <c r="E43" s="324">
        <v>15.18</v>
      </c>
      <c r="F43" s="324">
        <v>4668.6000000000004</v>
      </c>
      <c r="G43" s="124">
        <v>307.55</v>
      </c>
      <c r="H43" s="124"/>
      <c r="I43" s="121">
        <f t="shared" si="12"/>
        <v>307.55</v>
      </c>
      <c r="J43" s="124">
        <f t="shared" si="13"/>
        <v>4668.6000000000004</v>
      </c>
      <c r="K43" s="124">
        <f t="shared" si="14"/>
        <v>0</v>
      </c>
      <c r="L43" s="121">
        <f t="shared" si="16"/>
        <v>4668.6000000000004</v>
      </c>
      <c r="M43" s="129">
        <f t="shared" si="10"/>
        <v>1</v>
      </c>
      <c r="N43" s="179">
        <f t="shared" si="15"/>
        <v>0</v>
      </c>
      <c r="O43" s="316"/>
    </row>
    <row r="44" spans="1:16" s="141" customFormat="1" ht="39.6" x14ac:dyDescent="0.25">
      <c r="A44" s="140" t="s">
        <v>634</v>
      </c>
      <c r="B44" s="309" t="s">
        <v>75</v>
      </c>
      <c r="C44" s="310" t="s">
        <v>50</v>
      </c>
      <c r="D44" s="324">
        <v>16.12</v>
      </c>
      <c r="E44" s="324">
        <v>536.57000000000005</v>
      </c>
      <c r="F44" s="327">
        <v>8649.5</v>
      </c>
      <c r="G44" s="124">
        <v>16.12</v>
      </c>
      <c r="H44" s="124"/>
      <c r="I44" s="121">
        <f t="shared" si="12"/>
        <v>16.12</v>
      </c>
      <c r="J44" s="124">
        <f t="shared" si="13"/>
        <v>8649.5</v>
      </c>
      <c r="K44" s="124">
        <f t="shared" si="14"/>
        <v>0</v>
      </c>
      <c r="L44" s="121">
        <f t="shared" si="16"/>
        <v>8649.5</v>
      </c>
      <c r="M44" s="129">
        <f t="shared" si="10"/>
        <v>1</v>
      </c>
      <c r="N44" s="179">
        <f t="shared" si="15"/>
        <v>0</v>
      </c>
      <c r="O44" s="315"/>
    </row>
    <row r="45" spans="1:16" s="141" customFormat="1" ht="40.5" customHeight="1" x14ac:dyDescent="0.25">
      <c r="A45" s="133" t="s">
        <v>922</v>
      </c>
      <c r="B45" s="317" t="s">
        <v>77</v>
      </c>
      <c r="C45" s="318"/>
      <c r="D45" s="336"/>
      <c r="E45" s="336"/>
      <c r="F45" s="337">
        <f>SUM(F46:F51)</f>
        <v>62144.6</v>
      </c>
      <c r="G45" s="137"/>
      <c r="H45" s="137" t="s">
        <v>1076</v>
      </c>
      <c r="I45" s="137"/>
      <c r="J45" s="138">
        <f>SUM(J46:J51)-0.01</f>
        <v>62134.28</v>
      </c>
      <c r="K45" s="138">
        <f>SUM(K46:K51)</f>
        <v>10.31</v>
      </c>
      <c r="L45" s="138">
        <f>SUM(L46:L51)-0.01</f>
        <v>62144.59</v>
      </c>
      <c r="M45" s="139">
        <f>L45/F45</f>
        <v>0.99999983908497281</v>
      </c>
      <c r="N45" s="316"/>
      <c r="O45" s="316"/>
    </row>
    <row r="46" spans="1:16" s="141" customFormat="1" ht="39.6" x14ac:dyDescent="0.25">
      <c r="A46" s="140" t="s">
        <v>635</v>
      </c>
      <c r="B46" s="309" t="s">
        <v>79</v>
      </c>
      <c r="C46" s="310" t="s">
        <v>24</v>
      </c>
      <c r="D46" s="324">
        <v>463.48</v>
      </c>
      <c r="E46" s="324">
        <v>64.540000000000006</v>
      </c>
      <c r="F46" s="324">
        <v>29912.99</v>
      </c>
      <c r="G46" s="124">
        <v>463.48</v>
      </c>
      <c r="H46" s="124"/>
      <c r="I46" s="121">
        <f t="shared" ref="I46:I51" si="17">G46+H46</f>
        <v>463.48</v>
      </c>
      <c r="J46" s="124">
        <f t="shared" ref="J46:J51" si="18">TRUNC(E46*G46,2)</f>
        <v>29912.99</v>
      </c>
      <c r="K46" s="124">
        <f t="shared" ref="K46:K51" si="19">TRUNC(E46*H46,2)</f>
        <v>0</v>
      </c>
      <c r="L46" s="121">
        <f t="shared" ref="L46:L51" si="20">J46+K46</f>
        <v>29912.99</v>
      </c>
      <c r="M46" s="129">
        <f t="shared" si="10"/>
        <v>1</v>
      </c>
      <c r="N46" s="179">
        <f t="shared" ref="N46:N51" si="21">D46-I46</f>
        <v>0</v>
      </c>
      <c r="O46" s="175"/>
    </row>
    <row r="47" spans="1:16" s="141" customFormat="1" ht="39.6" x14ac:dyDescent="0.25">
      <c r="A47" s="130" t="s">
        <v>640</v>
      </c>
      <c r="B47" s="309" t="s">
        <v>64</v>
      </c>
      <c r="C47" s="310" t="s">
        <v>65</v>
      </c>
      <c r="D47" s="324">
        <v>0.73</v>
      </c>
      <c r="E47" s="324">
        <v>14.13</v>
      </c>
      <c r="F47" s="324">
        <v>10.31</v>
      </c>
      <c r="G47" s="124">
        <v>0</v>
      </c>
      <c r="H47" s="124">
        <v>0.73</v>
      </c>
      <c r="I47" s="121">
        <f t="shared" si="17"/>
        <v>0.73</v>
      </c>
      <c r="J47" s="124">
        <f t="shared" si="18"/>
        <v>0</v>
      </c>
      <c r="K47" s="124">
        <f t="shared" si="19"/>
        <v>10.31</v>
      </c>
      <c r="L47" s="121">
        <f t="shared" si="20"/>
        <v>10.31</v>
      </c>
      <c r="M47" s="129">
        <f t="shared" si="10"/>
        <v>1</v>
      </c>
      <c r="N47" s="179">
        <f t="shared" si="21"/>
        <v>0</v>
      </c>
      <c r="O47" s="316"/>
    </row>
    <row r="48" spans="1:16" s="141" customFormat="1" ht="39.6" x14ac:dyDescent="0.25">
      <c r="A48" s="140" t="s">
        <v>641</v>
      </c>
      <c r="B48" s="309" t="s">
        <v>67</v>
      </c>
      <c r="C48" s="310" t="s">
        <v>65</v>
      </c>
      <c r="D48" s="324">
        <v>829.82</v>
      </c>
      <c r="E48" s="324">
        <v>13.04</v>
      </c>
      <c r="F48" s="324">
        <v>10820.85</v>
      </c>
      <c r="G48" s="124">
        <v>829.82</v>
      </c>
      <c r="H48" s="124"/>
      <c r="I48" s="121">
        <f t="shared" si="17"/>
        <v>829.82</v>
      </c>
      <c r="J48" s="124">
        <f t="shared" si="18"/>
        <v>10820.85</v>
      </c>
      <c r="K48" s="124">
        <f t="shared" si="19"/>
        <v>0</v>
      </c>
      <c r="L48" s="121">
        <f t="shared" si="20"/>
        <v>10820.85</v>
      </c>
      <c r="M48" s="129">
        <f t="shared" si="10"/>
        <v>1</v>
      </c>
      <c r="N48" s="179">
        <f t="shared" si="21"/>
        <v>0</v>
      </c>
      <c r="O48" s="175"/>
    </row>
    <row r="49" spans="1:16" s="141" customFormat="1" ht="39.6" x14ac:dyDescent="0.25">
      <c r="A49" s="130" t="s">
        <v>642</v>
      </c>
      <c r="B49" s="309" t="s">
        <v>69</v>
      </c>
      <c r="C49" s="310" t="s">
        <v>65</v>
      </c>
      <c r="D49" s="324">
        <v>100.82</v>
      </c>
      <c r="E49" s="324">
        <v>11.49</v>
      </c>
      <c r="F49" s="324">
        <v>1158.42</v>
      </c>
      <c r="G49" s="124">
        <v>100.82</v>
      </c>
      <c r="H49" s="124"/>
      <c r="I49" s="121">
        <f t="shared" si="17"/>
        <v>100.82</v>
      </c>
      <c r="J49" s="124">
        <f t="shared" si="18"/>
        <v>1158.42</v>
      </c>
      <c r="K49" s="124">
        <f t="shared" si="19"/>
        <v>0</v>
      </c>
      <c r="L49" s="121">
        <f t="shared" si="20"/>
        <v>1158.42</v>
      </c>
      <c r="M49" s="129">
        <f t="shared" si="10"/>
        <v>1</v>
      </c>
      <c r="N49" s="179">
        <f t="shared" si="21"/>
        <v>0</v>
      </c>
      <c r="O49" s="316"/>
    </row>
    <row r="50" spans="1:16" s="141" customFormat="1" ht="39.6" x14ac:dyDescent="0.25">
      <c r="A50" s="140" t="s">
        <v>643</v>
      </c>
      <c r="B50" s="309" t="s">
        <v>73</v>
      </c>
      <c r="C50" s="310" t="s">
        <v>65</v>
      </c>
      <c r="D50" s="324">
        <v>395</v>
      </c>
      <c r="E50" s="324">
        <v>15.18</v>
      </c>
      <c r="F50" s="324">
        <v>5996.1</v>
      </c>
      <c r="G50" s="124">
        <v>395</v>
      </c>
      <c r="H50" s="124"/>
      <c r="I50" s="121">
        <f t="shared" si="17"/>
        <v>395</v>
      </c>
      <c r="J50" s="124">
        <f t="shared" si="18"/>
        <v>5996.1</v>
      </c>
      <c r="K50" s="124">
        <f t="shared" si="19"/>
        <v>0</v>
      </c>
      <c r="L50" s="121">
        <f>(J50+K50)</f>
        <v>5996.1</v>
      </c>
      <c r="M50" s="129">
        <f t="shared" si="10"/>
        <v>1</v>
      </c>
      <c r="N50" s="179">
        <f t="shared" si="21"/>
        <v>0</v>
      </c>
      <c r="O50" s="175"/>
      <c r="P50" s="322" t="s">
        <v>1082</v>
      </c>
    </row>
    <row r="51" spans="1:16" s="141" customFormat="1" ht="39.6" x14ac:dyDescent="0.25">
      <c r="A51" s="140" t="s">
        <v>644</v>
      </c>
      <c r="B51" s="309" t="s">
        <v>81</v>
      </c>
      <c r="C51" s="310" t="s">
        <v>50</v>
      </c>
      <c r="D51" s="324">
        <v>26.87</v>
      </c>
      <c r="E51" s="324">
        <v>530.17999999999995</v>
      </c>
      <c r="F51" s="327">
        <v>14245.93</v>
      </c>
      <c r="G51" s="124">
        <v>26.87</v>
      </c>
      <c r="H51" s="124"/>
      <c r="I51" s="121">
        <f t="shared" si="17"/>
        <v>26.87</v>
      </c>
      <c r="J51" s="124">
        <f t="shared" si="18"/>
        <v>14245.93</v>
      </c>
      <c r="K51" s="124">
        <f t="shared" si="19"/>
        <v>0</v>
      </c>
      <c r="L51" s="121">
        <f t="shared" si="20"/>
        <v>14245.93</v>
      </c>
      <c r="M51" s="129">
        <f t="shared" si="10"/>
        <v>1</v>
      </c>
      <c r="N51" s="179">
        <f t="shared" si="21"/>
        <v>0</v>
      </c>
      <c r="O51" s="316"/>
      <c r="P51" s="323"/>
    </row>
    <row r="52" spans="1:16" s="141" customFormat="1" ht="36" customHeight="1" x14ac:dyDescent="0.25">
      <c r="A52" s="133" t="s">
        <v>923</v>
      </c>
      <c r="B52" s="317" t="s">
        <v>83</v>
      </c>
      <c r="C52" s="318"/>
      <c r="D52" s="336"/>
      <c r="E52" s="336"/>
      <c r="F52" s="337">
        <f>SUM(F53:F56)</f>
        <v>7800.67</v>
      </c>
      <c r="G52" s="137"/>
      <c r="H52" s="137"/>
      <c r="I52" s="137"/>
      <c r="J52" s="137">
        <f>SUM(J53:J56)</f>
        <v>0</v>
      </c>
      <c r="K52" s="137">
        <f>SUM(K53:K56)</f>
        <v>0</v>
      </c>
      <c r="L52" s="137"/>
      <c r="M52" s="139">
        <f>L52/F52</f>
        <v>0</v>
      </c>
      <c r="N52" s="316"/>
      <c r="O52" s="316"/>
    </row>
    <row r="53" spans="1:16" s="141" customFormat="1" ht="39.6" x14ac:dyDescent="0.25">
      <c r="A53" s="130" t="s">
        <v>645</v>
      </c>
      <c r="B53" s="309" t="s">
        <v>62</v>
      </c>
      <c r="C53" s="310" t="s">
        <v>24</v>
      </c>
      <c r="D53" s="324">
        <v>5.6</v>
      </c>
      <c r="E53" s="324">
        <v>128.27000000000001</v>
      </c>
      <c r="F53" s="324">
        <v>718.31</v>
      </c>
      <c r="G53" s="124">
        <v>0</v>
      </c>
      <c r="H53" s="124">
        <v>0</v>
      </c>
      <c r="I53" s="121">
        <f t="shared" ref="I53:I56" si="22">G53+H53</f>
        <v>0</v>
      </c>
      <c r="J53" s="124">
        <f t="shared" ref="J53:J56" si="23">TRUNC(E53*G53,2)</f>
        <v>0</v>
      </c>
      <c r="K53" s="124">
        <f t="shared" ref="K53:K56" si="24">TRUNC(E53*H53,2)</f>
        <v>0</v>
      </c>
      <c r="L53" s="121">
        <f t="shared" ref="L53:L56" si="25">J53+K53</f>
        <v>0</v>
      </c>
      <c r="M53" s="129">
        <f t="shared" si="10"/>
        <v>0</v>
      </c>
      <c r="N53" s="179">
        <f t="shared" ref="N53:N56" si="26">D53-I53</f>
        <v>5.6</v>
      </c>
      <c r="O53" s="316"/>
    </row>
    <row r="54" spans="1:16" s="141" customFormat="1" ht="39.6" x14ac:dyDescent="0.25">
      <c r="A54" s="130" t="s">
        <v>646</v>
      </c>
      <c r="B54" s="309" t="s">
        <v>69</v>
      </c>
      <c r="C54" s="310" t="s">
        <v>65</v>
      </c>
      <c r="D54" s="324">
        <v>325</v>
      </c>
      <c r="E54" s="324">
        <v>11.49</v>
      </c>
      <c r="F54" s="324">
        <v>3734.25</v>
      </c>
      <c r="G54" s="124">
        <v>0</v>
      </c>
      <c r="H54" s="124">
        <v>0</v>
      </c>
      <c r="I54" s="121">
        <f t="shared" si="22"/>
        <v>0</v>
      </c>
      <c r="J54" s="124">
        <f t="shared" si="23"/>
        <v>0</v>
      </c>
      <c r="K54" s="124">
        <f t="shared" si="24"/>
        <v>0</v>
      </c>
      <c r="L54" s="121">
        <f t="shared" si="25"/>
        <v>0</v>
      </c>
      <c r="M54" s="129">
        <f t="shared" si="10"/>
        <v>0</v>
      </c>
      <c r="N54" s="179">
        <f t="shared" si="26"/>
        <v>325</v>
      </c>
      <c r="O54" s="316"/>
    </row>
    <row r="55" spans="1:16" s="141" customFormat="1" ht="39.6" x14ac:dyDescent="0.25">
      <c r="A55" s="130" t="s">
        <v>647</v>
      </c>
      <c r="B55" s="309" t="s">
        <v>73</v>
      </c>
      <c r="C55" s="310" t="s">
        <v>65</v>
      </c>
      <c r="D55" s="324">
        <v>82</v>
      </c>
      <c r="E55" s="324">
        <v>15.18</v>
      </c>
      <c r="F55" s="324">
        <v>1244.76</v>
      </c>
      <c r="G55" s="124">
        <v>0</v>
      </c>
      <c r="H55" s="124">
        <v>0</v>
      </c>
      <c r="I55" s="121">
        <f t="shared" si="22"/>
        <v>0</v>
      </c>
      <c r="J55" s="124">
        <f t="shared" si="23"/>
        <v>0</v>
      </c>
      <c r="K55" s="124">
        <f t="shared" si="24"/>
        <v>0</v>
      </c>
      <c r="L55" s="121">
        <f t="shared" si="25"/>
        <v>0</v>
      </c>
      <c r="M55" s="129">
        <f t="shared" si="10"/>
        <v>0</v>
      </c>
      <c r="N55" s="179">
        <f t="shared" si="26"/>
        <v>82</v>
      </c>
      <c r="O55" s="316"/>
    </row>
    <row r="56" spans="1:16" s="141" customFormat="1" ht="39.6" x14ac:dyDescent="0.25">
      <c r="A56" s="130" t="s">
        <v>648</v>
      </c>
      <c r="B56" s="309" t="s">
        <v>75</v>
      </c>
      <c r="C56" s="310" t="s">
        <v>50</v>
      </c>
      <c r="D56" s="324">
        <v>3.92</v>
      </c>
      <c r="E56" s="324">
        <v>536.57000000000005</v>
      </c>
      <c r="F56" s="324">
        <v>2103.35</v>
      </c>
      <c r="G56" s="124">
        <v>0</v>
      </c>
      <c r="H56" s="124">
        <f>'MEMORIA DE CALCULO'!H334</f>
        <v>0</v>
      </c>
      <c r="I56" s="121">
        <f t="shared" si="22"/>
        <v>0</v>
      </c>
      <c r="J56" s="124">
        <f t="shared" si="23"/>
        <v>0</v>
      </c>
      <c r="K56" s="124">
        <f t="shared" si="24"/>
        <v>0</v>
      </c>
      <c r="L56" s="121">
        <f t="shared" si="25"/>
        <v>0</v>
      </c>
      <c r="M56" s="129">
        <f t="shared" si="10"/>
        <v>0</v>
      </c>
      <c r="N56" s="179">
        <f t="shared" si="26"/>
        <v>3.92</v>
      </c>
      <c r="O56" s="316"/>
    </row>
    <row r="57" spans="1:16" ht="30" customHeight="1" x14ac:dyDescent="0.25">
      <c r="A57" s="131">
        <v>4</v>
      </c>
      <c r="B57" s="313" t="s">
        <v>85</v>
      </c>
      <c r="C57" s="132"/>
      <c r="D57" s="333"/>
      <c r="E57" s="333"/>
      <c r="F57" s="328">
        <f>F58+F65+F71+F73</f>
        <v>173762.92</v>
      </c>
      <c r="G57" s="128"/>
      <c r="H57" s="128"/>
      <c r="I57" s="128"/>
      <c r="J57" s="117">
        <f>SUM(J58,J65,J71,J73)</f>
        <v>17412.77</v>
      </c>
      <c r="K57" s="117">
        <f>SUM(K58,K65,K71,K73)</f>
        <v>49587.709999999992</v>
      </c>
      <c r="L57" s="117">
        <f>SUM(L58,L65,L71,L73)</f>
        <v>67000.490000000005</v>
      </c>
      <c r="M57" s="314">
        <f>L57/F57</f>
        <v>0.38558565889661617</v>
      </c>
      <c r="O57" s="315">
        <f>K57+J57</f>
        <v>67000.479999999996</v>
      </c>
    </row>
    <row r="58" spans="1:16" s="141" customFormat="1" ht="24.75" customHeight="1" x14ac:dyDescent="0.25">
      <c r="A58" s="133" t="s">
        <v>924</v>
      </c>
      <c r="B58" s="317" t="s">
        <v>87</v>
      </c>
      <c r="C58" s="134"/>
      <c r="D58" s="335"/>
      <c r="E58" s="335"/>
      <c r="F58" s="338">
        <f>SUM(F59:F64)</f>
        <v>65370.7</v>
      </c>
      <c r="G58" s="136"/>
      <c r="H58" s="136"/>
      <c r="I58" s="136"/>
      <c r="J58" s="138">
        <f>SUM(J59:J59)</f>
        <v>0</v>
      </c>
      <c r="K58" s="138">
        <f>SUM(K59:K64)</f>
        <v>25786.32</v>
      </c>
      <c r="L58" s="138">
        <f>SUM(L59:L64)</f>
        <v>25786.32</v>
      </c>
      <c r="M58" s="139">
        <f t="shared" si="10"/>
        <v>0.39446296276466369</v>
      </c>
    </row>
    <row r="59" spans="1:16" s="141" customFormat="1" ht="52.8" x14ac:dyDescent="0.25">
      <c r="A59" s="130" t="s">
        <v>649</v>
      </c>
      <c r="B59" s="309" t="s">
        <v>89</v>
      </c>
      <c r="C59" s="310" t="s">
        <v>24</v>
      </c>
      <c r="D59" s="324">
        <v>453.62</v>
      </c>
      <c r="E59" s="324">
        <v>77.739999999999995</v>
      </c>
      <c r="F59" s="324">
        <v>35264.410000000003</v>
      </c>
      <c r="G59" s="124">
        <v>0</v>
      </c>
      <c r="H59" s="124">
        <v>182.59</v>
      </c>
      <c r="I59" s="121">
        <f>G59+H59</f>
        <v>182.59</v>
      </c>
      <c r="J59" s="124">
        <f>TRUNC(E59*G59,2)</f>
        <v>0</v>
      </c>
      <c r="K59" s="124">
        <f>TRUNC(E59*H59,2)</f>
        <v>14194.54</v>
      </c>
      <c r="L59" s="121">
        <f>J59+K59</f>
        <v>14194.54</v>
      </c>
      <c r="M59" s="129">
        <f t="shared" si="10"/>
        <v>0.40251743897033865</v>
      </c>
      <c r="N59" s="179">
        <f t="shared" ref="N59:N64" si="27">D59-I59</f>
        <v>271.02999999999997</v>
      </c>
    </row>
    <row r="60" spans="1:16" s="141" customFormat="1" ht="39.6" x14ac:dyDescent="0.25">
      <c r="A60" s="130" t="s">
        <v>650</v>
      </c>
      <c r="B60" s="309" t="s">
        <v>91</v>
      </c>
      <c r="C60" s="310" t="s">
        <v>65</v>
      </c>
      <c r="D60" s="324">
        <v>0.73</v>
      </c>
      <c r="E60" s="324">
        <v>12.52</v>
      </c>
      <c r="F60" s="324">
        <v>9.1300000000000008</v>
      </c>
      <c r="G60" s="124">
        <v>0</v>
      </c>
      <c r="H60" s="124">
        <v>0.73</v>
      </c>
      <c r="I60" s="121">
        <f t="shared" ref="I60:I64" si="28">G60+H60</f>
        <v>0.73</v>
      </c>
      <c r="J60" s="124">
        <f t="shared" ref="J60:J64" si="29">TRUNC(E60*G60,2)</f>
        <v>0</v>
      </c>
      <c r="K60" s="124">
        <f t="shared" ref="K60:K64" si="30">TRUNC(E60*H60,2)</f>
        <v>9.1300000000000008</v>
      </c>
      <c r="L60" s="121">
        <f t="shared" ref="L60:L64" si="31">J60+K60</f>
        <v>9.1300000000000008</v>
      </c>
      <c r="M60" s="129">
        <f t="shared" si="10"/>
        <v>1</v>
      </c>
      <c r="N60" s="179">
        <f t="shared" si="27"/>
        <v>0</v>
      </c>
    </row>
    <row r="61" spans="1:16" s="141" customFormat="1" ht="39.6" x14ac:dyDescent="0.25">
      <c r="A61" s="130" t="s">
        <v>651</v>
      </c>
      <c r="B61" s="309" t="s">
        <v>93</v>
      </c>
      <c r="C61" s="310" t="s">
        <v>65</v>
      </c>
      <c r="D61" s="324">
        <v>829.82</v>
      </c>
      <c r="E61" s="324">
        <v>11.9</v>
      </c>
      <c r="F61" s="324">
        <v>9874.85</v>
      </c>
      <c r="G61" s="124">
        <v>0</v>
      </c>
      <c r="H61" s="124">
        <v>359</v>
      </c>
      <c r="I61" s="121">
        <f t="shared" si="28"/>
        <v>359</v>
      </c>
      <c r="J61" s="124">
        <f t="shared" si="29"/>
        <v>0</v>
      </c>
      <c r="K61" s="124">
        <f t="shared" si="30"/>
        <v>4272.1000000000004</v>
      </c>
      <c r="L61" s="121">
        <f t="shared" si="31"/>
        <v>4272.1000000000004</v>
      </c>
      <c r="M61" s="129">
        <f t="shared" si="10"/>
        <v>0.43262429302723587</v>
      </c>
      <c r="N61" s="179">
        <f t="shared" si="27"/>
        <v>470.82000000000005</v>
      </c>
    </row>
    <row r="62" spans="1:16" s="141" customFormat="1" ht="39.6" x14ac:dyDescent="0.25">
      <c r="A62" s="130" t="s">
        <v>652</v>
      </c>
      <c r="B62" s="309" t="s">
        <v>95</v>
      </c>
      <c r="C62" s="310" t="s">
        <v>65</v>
      </c>
      <c r="D62" s="325">
        <v>100.82</v>
      </c>
      <c r="E62" s="325">
        <v>10.71</v>
      </c>
      <c r="F62" s="325">
        <v>1079.78</v>
      </c>
      <c r="G62" s="124">
        <v>0</v>
      </c>
      <c r="H62" s="124">
        <v>14.1</v>
      </c>
      <c r="I62" s="121">
        <f t="shared" si="28"/>
        <v>14.1</v>
      </c>
      <c r="J62" s="124">
        <f t="shared" si="29"/>
        <v>0</v>
      </c>
      <c r="K62" s="124">
        <f t="shared" si="30"/>
        <v>151.01</v>
      </c>
      <c r="L62" s="121">
        <f t="shared" si="31"/>
        <v>151.01</v>
      </c>
      <c r="M62" s="129">
        <f t="shared" si="10"/>
        <v>0.1398525625590398</v>
      </c>
      <c r="N62" s="179">
        <f t="shared" si="27"/>
        <v>86.72</v>
      </c>
    </row>
    <row r="63" spans="1:16" s="141" customFormat="1" ht="39.6" x14ac:dyDescent="0.25">
      <c r="A63" s="130" t="s">
        <v>653</v>
      </c>
      <c r="B63" s="309" t="s">
        <v>97</v>
      </c>
      <c r="C63" s="310" t="s">
        <v>65</v>
      </c>
      <c r="D63" s="326">
        <v>379</v>
      </c>
      <c r="E63" s="326">
        <v>13.01</v>
      </c>
      <c r="F63" s="326">
        <v>4930.79</v>
      </c>
      <c r="G63" s="124">
        <v>0</v>
      </c>
      <c r="H63" s="124">
        <v>150.05000000000001</v>
      </c>
      <c r="I63" s="121">
        <f t="shared" si="28"/>
        <v>150.05000000000001</v>
      </c>
      <c r="J63" s="124">
        <f t="shared" si="29"/>
        <v>0</v>
      </c>
      <c r="K63" s="124">
        <f t="shared" si="30"/>
        <v>1952.15</v>
      </c>
      <c r="L63" s="121">
        <f t="shared" si="31"/>
        <v>1952.15</v>
      </c>
      <c r="M63" s="129">
        <f t="shared" si="10"/>
        <v>0.39591018883383799</v>
      </c>
      <c r="N63" s="179">
        <f t="shared" si="27"/>
        <v>228.95</v>
      </c>
    </row>
    <row r="64" spans="1:16" s="141" customFormat="1" ht="52.8" x14ac:dyDescent="0.25">
      <c r="A64" s="130" t="s">
        <v>654</v>
      </c>
      <c r="B64" s="309" t="s">
        <v>99</v>
      </c>
      <c r="C64" s="310" t="s">
        <v>50</v>
      </c>
      <c r="D64" s="324">
        <v>27.81</v>
      </c>
      <c r="E64" s="324">
        <v>511.03</v>
      </c>
      <c r="F64" s="327">
        <v>14211.74</v>
      </c>
      <c r="G64" s="124">
        <v>0</v>
      </c>
      <c r="H64" s="124">
        <v>10.19</v>
      </c>
      <c r="I64" s="121">
        <f t="shared" si="28"/>
        <v>10.19</v>
      </c>
      <c r="J64" s="124">
        <f t="shared" si="29"/>
        <v>0</v>
      </c>
      <c r="K64" s="124">
        <f t="shared" si="30"/>
        <v>5207.3900000000003</v>
      </c>
      <c r="L64" s="121">
        <f t="shared" si="31"/>
        <v>5207.3900000000003</v>
      </c>
      <c r="M64" s="129">
        <f t="shared" si="10"/>
        <v>0.36641466843609583</v>
      </c>
      <c r="N64" s="179">
        <f t="shared" si="27"/>
        <v>17.619999999999997</v>
      </c>
    </row>
    <row r="65" spans="1:15" s="141" customFormat="1" ht="23.25" customHeight="1" x14ac:dyDescent="0.25">
      <c r="A65" s="133" t="s">
        <v>925</v>
      </c>
      <c r="B65" s="317" t="s">
        <v>101</v>
      </c>
      <c r="C65" s="134"/>
      <c r="D65" s="335"/>
      <c r="E65" s="335"/>
      <c r="F65" s="338">
        <f>SUM(F66:F70)</f>
        <v>40599.880000000005</v>
      </c>
      <c r="G65" s="136"/>
      <c r="H65" s="136"/>
      <c r="I65" s="136"/>
      <c r="J65" s="138">
        <f>SUM(J66:J70)</f>
        <v>11499.36</v>
      </c>
      <c r="K65" s="138">
        <f>SUM(K66:K70)</f>
        <v>17908.329999999998</v>
      </c>
      <c r="L65" s="138">
        <f>SUM(L66:L70)</f>
        <v>29407.690000000002</v>
      </c>
      <c r="M65" s="139">
        <f t="shared" si="10"/>
        <v>0.72432948077679049</v>
      </c>
    </row>
    <row r="66" spans="1:15" s="141" customFormat="1" ht="58.2" customHeight="1" x14ac:dyDescent="0.25">
      <c r="A66" s="140" t="s">
        <v>655</v>
      </c>
      <c r="B66" s="309" t="s">
        <v>103</v>
      </c>
      <c r="C66" s="310" t="s">
        <v>24</v>
      </c>
      <c r="D66" s="324">
        <v>319.27</v>
      </c>
      <c r="E66" s="324">
        <v>40.75</v>
      </c>
      <c r="F66" s="324">
        <v>13010.25</v>
      </c>
      <c r="G66" s="124">
        <v>67.38</v>
      </c>
      <c r="H66" s="124">
        <v>170.72</v>
      </c>
      <c r="I66" s="121">
        <f>G66+H66</f>
        <v>238.1</v>
      </c>
      <c r="J66" s="124">
        <f>TRUNC(E66*G66,2)</f>
        <v>2745.73</v>
      </c>
      <c r="K66" s="124">
        <f>TRUNC(E66*H66,2)</f>
        <v>6956.84</v>
      </c>
      <c r="L66" s="121">
        <f>J66+K66</f>
        <v>9702.57</v>
      </c>
      <c r="M66" s="129">
        <f t="shared" si="10"/>
        <v>0.74576353259929673</v>
      </c>
      <c r="N66" s="179">
        <f t="shared" ref="N66:N70" si="32">D66-I66</f>
        <v>81.169999999999987</v>
      </c>
    </row>
    <row r="67" spans="1:15" s="141" customFormat="1" ht="47.4" customHeight="1" x14ac:dyDescent="0.25">
      <c r="A67" s="140" t="s">
        <v>656</v>
      </c>
      <c r="B67" s="309" t="s">
        <v>69</v>
      </c>
      <c r="C67" s="310" t="s">
        <v>65</v>
      </c>
      <c r="D67" s="324">
        <v>1063.9100000000001</v>
      </c>
      <c r="E67" s="324">
        <v>11.49</v>
      </c>
      <c r="F67" s="324">
        <v>12224.32</v>
      </c>
      <c r="G67" s="124">
        <v>414.99419999999998</v>
      </c>
      <c r="H67" s="124">
        <v>422.26</v>
      </c>
      <c r="I67" s="121">
        <f>414.9942+H67</f>
        <v>837.25419999999997</v>
      </c>
      <c r="J67" s="124">
        <f t="shared" ref="J67:J70" si="33">TRUNC(E67*G67,2)</f>
        <v>4768.28</v>
      </c>
      <c r="K67" s="124">
        <f t="shared" ref="K67:K70" si="34">TRUNC(E67*H67,2)</f>
        <v>4851.76</v>
      </c>
      <c r="L67" s="121">
        <f t="shared" ref="L67:L70" si="35">J67+K67</f>
        <v>9620.0400000000009</v>
      </c>
      <c r="M67" s="129">
        <f t="shared" si="10"/>
        <v>0.78695911101803628</v>
      </c>
      <c r="N67" s="215">
        <f>D67-I67</f>
        <v>226.65580000000011</v>
      </c>
    </row>
    <row r="68" spans="1:15" s="141" customFormat="1" ht="45" customHeight="1" x14ac:dyDescent="0.25">
      <c r="A68" s="140" t="s">
        <v>657</v>
      </c>
      <c r="B68" s="309" t="s">
        <v>71</v>
      </c>
      <c r="C68" s="310" t="s">
        <v>65</v>
      </c>
      <c r="D68" s="324">
        <v>102.27</v>
      </c>
      <c r="E68" s="324">
        <v>9.57</v>
      </c>
      <c r="F68" s="324">
        <v>978.72</v>
      </c>
      <c r="G68" s="124">
        <v>0</v>
      </c>
      <c r="H68" s="124">
        <v>102.27</v>
      </c>
      <c r="I68" s="121">
        <f t="shared" ref="I68:I70" si="36">G68+H68</f>
        <v>102.27</v>
      </c>
      <c r="J68" s="124">
        <f t="shared" si="33"/>
        <v>0</v>
      </c>
      <c r="K68" s="124">
        <f t="shared" si="34"/>
        <v>978.72</v>
      </c>
      <c r="L68" s="121">
        <f t="shared" si="35"/>
        <v>978.72</v>
      </c>
      <c r="M68" s="129">
        <f t="shared" si="10"/>
        <v>1</v>
      </c>
      <c r="N68" s="179">
        <f t="shared" si="32"/>
        <v>0</v>
      </c>
    </row>
    <row r="69" spans="1:15" s="141" customFormat="1" ht="49.2" customHeight="1" x14ac:dyDescent="0.25">
      <c r="A69" s="140" t="s">
        <v>658</v>
      </c>
      <c r="B69" s="309" t="s">
        <v>73</v>
      </c>
      <c r="C69" s="310" t="s">
        <v>65</v>
      </c>
      <c r="D69" s="324">
        <v>404.73</v>
      </c>
      <c r="E69" s="324">
        <v>15.18</v>
      </c>
      <c r="F69" s="324">
        <v>6143.8</v>
      </c>
      <c r="G69" s="124">
        <v>97.789500000000018</v>
      </c>
      <c r="H69" s="124">
        <v>126.54</v>
      </c>
      <c r="I69" s="121">
        <f t="shared" si="36"/>
        <v>224.32950000000002</v>
      </c>
      <c r="J69" s="124">
        <f t="shared" si="33"/>
        <v>1484.44</v>
      </c>
      <c r="K69" s="124">
        <f t="shared" si="34"/>
        <v>1920.87</v>
      </c>
      <c r="L69" s="121">
        <f t="shared" si="35"/>
        <v>3405.31</v>
      </c>
      <c r="M69" s="129">
        <f t="shared" si="10"/>
        <v>0.55426771704808098</v>
      </c>
      <c r="N69" s="179">
        <f t="shared" si="32"/>
        <v>180.40049999999999</v>
      </c>
    </row>
    <row r="70" spans="1:15" s="141" customFormat="1" ht="39.6" x14ac:dyDescent="0.25">
      <c r="A70" s="140" t="s">
        <v>659</v>
      </c>
      <c r="B70" s="309" t="s">
        <v>105</v>
      </c>
      <c r="C70" s="310" t="s">
        <v>50</v>
      </c>
      <c r="D70" s="324">
        <v>16.149999999999999</v>
      </c>
      <c r="E70" s="324">
        <v>510.39</v>
      </c>
      <c r="F70" s="327">
        <v>8242.7900000000009</v>
      </c>
      <c r="G70" s="124">
        <v>4.9000000000000004</v>
      </c>
      <c r="H70" s="124">
        <v>6.27</v>
      </c>
      <c r="I70" s="121">
        <f t="shared" si="36"/>
        <v>11.17</v>
      </c>
      <c r="J70" s="124">
        <f t="shared" si="33"/>
        <v>2500.91</v>
      </c>
      <c r="K70" s="124">
        <f t="shared" si="34"/>
        <v>3200.14</v>
      </c>
      <c r="L70" s="121">
        <f t="shared" si="35"/>
        <v>5701.0499999999993</v>
      </c>
      <c r="M70" s="129">
        <f t="shared" si="10"/>
        <v>0.6916408157917403</v>
      </c>
      <c r="N70" s="179">
        <f t="shared" si="32"/>
        <v>4.9799999999999986</v>
      </c>
    </row>
    <row r="71" spans="1:15" s="141" customFormat="1" ht="27.75" customHeight="1" x14ac:dyDescent="0.25">
      <c r="A71" s="133" t="s">
        <v>926</v>
      </c>
      <c r="B71" s="317" t="s">
        <v>107</v>
      </c>
      <c r="C71" s="134"/>
      <c r="D71" s="335"/>
      <c r="E71" s="335"/>
      <c r="F71" s="338">
        <f>SUM(F72)</f>
        <v>55985.86</v>
      </c>
      <c r="G71" s="136"/>
      <c r="H71" s="136"/>
      <c r="I71" s="136"/>
      <c r="J71" s="138">
        <f t="shared" ref="J71:L71" si="37">SUM(J72)</f>
        <v>0</v>
      </c>
      <c r="K71" s="138">
        <f t="shared" si="37"/>
        <v>0</v>
      </c>
      <c r="L71" s="138">
        <f t="shared" si="37"/>
        <v>0</v>
      </c>
      <c r="M71" s="139">
        <f t="shared" si="10"/>
        <v>0</v>
      </c>
    </row>
    <row r="72" spans="1:15" s="141" customFormat="1" ht="52.8" x14ac:dyDescent="0.25">
      <c r="A72" s="130" t="s">
        <v>660</v>
      </c>
      <c r="B72" s="309" t="s">
        <v>110</v>
      </c>
      <c r="C72" s="310" t="s">
        <v>111</v>
      </c>
      <c r="D72" s="324">
        <v>647.46</v>
      </c>
      <c r="E72" s="324">
        <v>86.47</v>
      </c>
      <c r="F72" s="324">
        <v>55985.86</v>
      </c>
      <c r="G72" s="124">
        <v>0</v>
      </c>
      <c r="H72" s="124">
        <v>0</v>
      </c>
      <c r="I72" s="121">
        <f>G72+H72</f>
        <v>0</v>
      </c>
      <c r="J72" s="124">
        <f>TRUNC(E72*G72,2)</f>
        <v>0</v>
      </c>
      <c r="K72" s="124">
        <f>TRUNC(E72*H72,2)</f>
        <v>0</v>
      </c>
      <c r="L72" s="121">
        <f>J72+K72</f>
        <v>0</v>
      </c>
      <c r="M72" s="129">
        <f t="shared" si="10"/>
        <v>0</v>
      </c>
      <c r="N72" s="179">
        <f t="shared" ref="N72" si="38">D72-I72</f>
        <v>647.46</v>
      </c>
    </row>
    <row r="73" spans="1:15" s="141" customFormat="1" ht="27" customHeight="1" x14ac:dyDescent="0.25">
      <c r="A73" s="133" t="s">
        <v>927</v>
      </c>
      <c r="B73" s="317" t="s">
        <v>113</v>
      </c>
      <c r="C73" s="142"/>
      <c r="D73" s="339"/>
      <c r="E73" s="339"/>
      <c r="F73" s="335">
        <f>SUM(F74)</f>
        <v>11806.48</v>
      </c>
      <c r="G73" s="137"/>
      <c r="H73" s="137"/>
      <c r="I73" s="137"/>
      <c r="J73" s="138">
        <f>J74</f>
        <v>5913.41</v>
      </c>
      <c r="K73" s="138">
        <f>K74</f>
        <v>5893.06</v>
      </c>
      <c r="L73" s="138">
        <f>L74</f>
        <v>11806.480000000001</v>
      </c>
      <c r="M73" s="139">
        <f>L73/F73</f>
        <v>1.0000000000000002</v>
      </c>
    </row>
    <row r="74" spans="1:15" s="141" customFormat="1" ht="26.4" x14ac:dyDescent="0.25">
      <c r="A74" s="130" t="s">
        <v>661</v>
      </c>
      <c r="B74" s="309" t="s">
        <v>115</v>
      </c>
      <c r="C74" s="310" t="s">
        <v>116</v>
      </c>
      <c r="D74" s="324">
        <v>232</v>
      </c>
      <c r="E74" s="324">
        <v>50.89</v>
      </c>
      <c r="F74" s="324">
        <v>11806.48</v>
      </c>
      <c r="G74" s="124">
        <v>116.2</v>
      </c>
      <c r="H74" s="124">
        <v>115.8</v>
      </c>
      <c r="I74" s="121">
        <f>G74+H74</f>
        <v>232</v>
      </c>
      <c r="J74" s="124">
        <f>TRUNC(E74*G74,2)</f>
        <v>5913.41</v>
      </c>
      <c r="K74" s="124">
        <f>TRUNC(E74*H74,2)</f>
        <v>5893.06</v>
      </c>
      <c r="L74" s="121">
        <f>(J74+K74)+0.01</f>
        <v>11806.480000000001</v>
      </c>
      <c r="M74" s="129">
        <f t="shared" ref="M74" si="39">L74/F74</f>
        <v>1.0000000000000002</v>
      </c>
      <c r="N74" s="179">
        <f t="shared" ref="N74" si="40">D74-I74</f>
        <v>0</v>
      </c>
    </row>
    <row r="75" spans="1:15" ht="34.5" customHeight="1" x14ac:dyDescent="0.25">
      <c r="A75" s="131">
        <v>5</v>
      </c>
      <c r="B75" s="313" t="s">
        <v>118</v>
      </c>
      <c r="C75" s="132"/>
      <c r="D75" s="333"/>
      <c r="E75" s="333"/>
      <c r="F75" s="334">
        <f>SUM(F76:F78)</f>
        <v>53575.28</v>
      </c>
      <c r="G75" s="128"/>
      <c r="H75" s="128"/>
      <c r="I75" s="128"/>
      <c r="J75" s="117">
        <f>J76</f>
        <v>7498.4</v>
      </c>
      <c r="K75" s="117">
        <f>K76+K77+K78</f>
        <v>34025.979679999997</v>
      </c>
      <c r="L75" s="117">
        <f>L76+L77+L78</f>
        <v>41524.379679999998</v>
      </c>
      <c r="M75" s="314">
        <f>L75/F75</f>
        <v>0.77506603194607659</v>
      </c>
    </row>
    <row r="76" spans="1:15" s="141" customFormat="1" ht="52.8" x14ac:dyDescent="0.25">
      <c r="A76" s="140" t="s">
        <v>662</v>
      </c>
      <c r="B76" s="309" t="s">
        <v>120</v>
      </c>
      <c r="C76" s="310" t="s">
        <v>24</v>
      </c>
      <c r="D76" s="324">
        <v>914.03</v>
      </c>
      <c r="E76" s="324">
        <v>45.43</v>
      </c>
      <c r="F76" s="324">
        <v>41524.379999999997</v>
      </c>
      <c r="G76" s="124">
        <v>165.054</v>
      </c>
      <c r="H76" s="124">
        <f>D76-G76</f>
        <v>748.976</v>
      </c>
      <c r="I76" s="121">
        <f>G76+H76</f>
        <v>914.03</v>
      </c>
      <c r="J76" s="124">
        <f>TRUNC(E76*G76,2)</f>
        <v>7498.4</v>
      </c>
      <c r="K76" s="124">
        <f>H76*E76</f>
        <v>34025.979679999997</v>
      </c>
      <c r="L76" s="121">
        <f>J76+K76</f>
        <v>41524.379679999998</v>
      </c>
      <c r="M76" s="129">
        <f t="shared" ref="M76:M87" si="41">L76/F76</f>
        <v>0.99999999229368386</v>
      </c>
      <c r="N76" s="179">
        <f t="shared" ref="N76:N78" si="42">D76-I76</f>
        <v>0</v>
      </c>
      <c r="O76" s="316"/>
    </row>
    <row r="77" spans="1:15" s="141" customFormat="1" ht="26.4" x14ac:dyDescent="0.25">
      <c r="A77" s="130" t="s">
        <v>663</v>
      </c>
      <c r="B77" s="309" t="s">
        <v>122</v>
      </c>
      <c r="C77" s="310" t="s">
        <v>116</v>
      </c>
      <c r="D77" s="324">
        <v>295.3</v>
      </c>
      <c r="E77" s="324">
        <v>21.79</v>
      </c>
      <c r="F77" s="324">
        <v>6434.58</v>
      </c>
      <c r="G77" s="124">
        <v>0</v>
      </c>
      <c r="H77" s="124">
        <v>0</v>
      </c>
      <c r="I77" s="121">
        <f>G77+H77</f>
        <v>0</v>
      </c>
      <c r="J77" s="124">
        <f>TRUNC(E77*G77,2)</f>
        <v>0</v>
      </c>
      <c r="K77" s="124">
        <f>TRUNC(E77*H77,2)</f>
        <v>0</v>
      </c>
      <c r="L77" s="121">
        <f>J77+K77</f>
        <v>0</v>
      </c>
      <c r="M77" s="129">
        <f t="shared" si="41"/>
        <v>0</v>
      </c>
      <c r="N77" s="179">
        <f t="shared" si="42"/>
        <v>295.3</v>
      </c>
    </row>
    <row r="78" spans="1:15" s="141" customFormat="1" x14ac:dyDescent="0.25">
      <c r="A78" s="130" t="s">
        <v>664</v>
      </c>
      <c r="B78" s="309" t="s">
        <v>124</v>
      </c>
      <c r="C78" s="310" t="s">
        <v>24</v>
      </c>
      <c r="D78" s="324">
        <v>12.92</v>
      </c>
      <c r="E78" s="324">
        <v>434.7</v>
      </c>
      <c r="F78" s="327">
        <v>5616.32</v>
      </c>
      <c r="G78" s="124">
        <v>0</v>
      </c>
      <c r="H78" s="124">
        <v>0</v>
      </c>
      <c r="I78" s="121">
        <f>G78+H78</f>
        <v>0</v>
      </c>
      <c r="J78" s="124">
        <f>TRUNC(E78*G78,2)</f>
        <v>0</v>
      </c>
      <c r="K78" s="124">
        <f>TRUNC(E78*H78,2)</f>
        <v>0</v>
      </c>
      <c r="L78" s="121">
        <f>J78+K78</f>
        <v>0</v>
      </c>
      <c r="M78" s="129">
        <f t="shared" si="41"/>
        <v>0</v>
      </c>
      <c r="N78" s="179">
        <f t="shared" si="42"/>
        <v>12.92</v>
      </c>
    </row>
    <row r="79" spans="1:15" s="141" customFormat="1" ht="25.5" customHeight="1" x14ac:dyDescent="0.25">
      <c r="A79" s="143">
        <v>6</v>
      </c>
      <c r="B79" s="319" t="s">
        <v>126</v>
      </c>
      <c r="C79" s="144"/>
      <c r="D79" s="340"/>
      <c r="E79" s="340"/>
      <c r="F79" s="341">
        <f>F80+F88+F92+F94+F106</f>
        <v>149488.57</v>
      </c>
      <c r="G79" s="145"/>
      <c r="H79" s="145"/>
      <c r="I79" s="145"/>
      <c r="J79" s="146"/>
      <c r="K79" s="146"/>
      <c r="L79" s="146">
        <f t="shared" ref="L79" si="43">SUM(L81)</f>
        <v>0</v>
      </c>
      <c r="M79" s="147">
        <f t="shared" si="41"/>
        <v>0</v>
      </c>
    </row>
    <row r="80" spans="1:15" s="141" customFormat="1" ht="27" customHeight="1" x14ac:dyDescent="0.25">
      <c r="A80" s="133" t="s">
        <v>928</v>
      </c>
      <c r="B80" s="317" t="s">
        <v>128</v>
      </c>
      <c r="C80" s="134"/>
      <c r="D80" s="335"/>
      <c r="E80" s="335"/>
      <c r="F80" s="338">
        <f>SUM(F81:F87)</f>
        <v>25618.06</v>
      </c>
      <c r="G80" s="136"/>
      <c r="H80" s="136"/>
      <c r="I80" s="136"/>
      <c r="J80" s="138">
        <f>SUM(J81:J87)</f>
        <v>0</v>
      </c>
      <c r="K80" s="138">
        <f>SUM(K81:K87)</f>
        <v>0</v>
      </c>
      <c r="L80" s="138"/>
      <c r="M80" s="139">
        <f>L80/F80</f>
        <v>0</v>
      </c>
    </row>
    <row r="81" spans="1:14" s="141" customFormat="1" ht="66" x14ac:dyDescent="0.25">
      <c r="A81" s="130" t="s">
        <v>665</v>
      </c>
      <c r="B81" s="309" t="s">
        <v>130</v>
      </c>
      <c r="C81" s="310" t="s">
        <v>31</v>
      </c>
      <c r="D81" s="324">
        <v>7</v>
      </c>
      <c r="E81" s="324">
        <v>894.39</v>
      </c>
      <c r="F81" s="324">
        <v>6260.73</v>
      </c>
      <c r="G81" s="124">
        <v>0</v>
      </c>
      <c r="H81" s="124">
        <v>0</v>
      </c>
      <c r="I81" s="121">
        <f>G81+H81</f>
        <v>0</v>
      </c>
      <c r="J81" s="124">
        <f>TRUNC(E81*G81,2)</f>
        <v>0</v>
      </c>
      <c r="K81" s="124">
        <f>TRUNC(E81*H81,2)</f>
        <v>0</v>
      </c>
      <c r="L81" s="121">
        <f>J81+K81</f>
        <v>0</v>
      </c>
      <c r="M81" s="129">
        <f t="shared" si="41"/>
        <v>0</v>
      </c>
      <c r="N81" s="179">
        <f t="shared" ref="N81:N87" si="44">D81-I81</f>
        <v>7</v>
      </c>
    </row>
    <row r="82" spans="1:14" s="141" customFormat="1" ht="66" x14ac:dyDescent="0.25">
      <c r="A82" s="130" t="s">
        <v>666</v>
      </c>
      <c r="B82" s="309" t="s">
        <v>132</v>
      </c>
      <c r="C82" s="310" t="s">
        <v>31</v>
      </c>
      <c r="D82" s="324">
        <v>7</v>
      </c>
      <c r="E82" s="324">
        <v>742.48</v>
      </c>
      <c r="F82" s="324">
        <v>5197.3599999999997</v>
      </c>
      <c r="G82" s="124">
        <v>0</v>
      </c>
      <c r="H82" s="124">
        <v>0</v>
      </c>
      <c r="I82" s="121">
        <f>G82+H82</f>
        <v>0</v>
      </c>
      <c r="J82" s="124">
        <f>TRUNC(E82*G82,2)</f>
        <v>0</v>
      </c>
      <c r="K82" s="124">
        <f>TRUNC(E82*H82,2)</f>
        <v>0</v>
      </c>
      <c r="L82" s="121">
        <f>J82+K82</f>
        <v>0</v>
      </c>
      <c r="M82" s="129">
        <f t="shared" si="41"/>
        <v>0</v>
      </c>
      <c r="N82" s="179">
        <f t="shared" si="44"/>
        <v>7</v>
      </c>
    </row>
    <row r="83" spans="1:14" s="141" customFormat="1" ht="66" x14ac:dyDescent="0.25">
      <c r="A83" s="130" t="s">
        <v>667</v>
      </c>
      <c r="B83" s="309" t="s">
        <v>130</v>
      </c>
      <c r="C83" s="310" t="s">
        <v>31</v>
      </c>
      <c r="D83" s="324">
        <v>2</v>
      </c>
      <c r="E83" s="324">
        <v>894.39</v>
      </c>
      <c r="F83" s="324">
        <v>1788.78</v>
      </c>
      <c r="G83" s="124">
        <v>0</v>
      </c>
      <c r="H83" s="124">
        <v>0</v>
      </c>
      <c r="I83" s="121">
        <f>G83+H83</f>
        <v>0</v>
      </c>
      <c r="J83" s="124">
        <f>TRUNC(E83*G83,2)</f>
        <v>0</v>
      </c>
      <c r="K83" s="124">
        <f>TRUNC(E83*H83,2)</f>
        <v>0</v>
      </c>
      <c r="L83" s="121">
        <f>J83+K83</f>
        <v>0</v>
      </c>
      <c r="M83" s="129">
        <f t="shared" si="41"/>
        <v>0</v>
      </c>
      <c r="N83" s="179">
        <f t="shared" si="44"/>
        <v>2</v>
      </c>
    </row>
    <row r="84" spans="1:14" s="141" customFormat="1" ht="52.8" x14ac:dyDescent="0.25">
      <c r="A84" s="130" t="s">
        <v>668</v>
      </c>
      <c r="B84" s="309" t="s">
        <v>134</v>
      </c>
      <c r="C84" s="310" t="s">
        <v>31</v>
      </c>
      <c r="D84" s="325">
        <v>1</v>
      </c>
      <c r="E84" s="325">
        <v>1208.27</v>
      </c>
      <c r="F84" s="325">
        <v>1208.27</v>
      </c>
      <c r="G84" s="124">
        <v>0</v>
      </c>
      <c r="H84" s="124">
        <v>0</v>
      </c>
      <c r="I84" s="121">
        <f>G84+H84</f>
        <v>0</v>
      </c>
      <c r="J84" s="124">
        <f>TRUNC(E84*G84,2)</f>
        <v>0</v>
      </c>
      <c r="K84" s="124">
        <f>TRUNC(E84*H84,2)</f>
        <v>0</v>
      </c>
      <c r="L84" s="121">
        <f>J84+K84</f>
        <v>0</v>
      </c>
      <c r="M84" s="129">
        <f t="shared" si="41"/>
        <v>0</v>
      </c>
      <c r="N84" s="179">
        <f t="shared" si="44"/>
        <v>1</v>
      </c>
    </row>
    <row r="85" spans="1:14" s="141" customFormat="1" ht="66" x14ac:dyDescent="0.25">
      <c r="A85" s="130" t="s">
        <v>669</v>
      </c>
      <c r="B85" s="309" t="s">
        <v>136</v>
      </c>
      <c r="C85" s="310" t="s">
        <v>31</v>
      </c>
      <c r="D85" s="326">
        <v>3</v>
      </c>
      <c r="E85" s="326">
        <v>1210.94</v>
      </c>
      <c r="F85" s="326">
        <v>3632.82</v>
      </c>
      <c r="G85" s="124">
        <v>0</v>
      </c>
      <c r="H85" s="124">
        <v>0</v>
      </c>
      <c r="I85" s="121">
        <f t="shared" ref="I85:I87" si="45">G85+H85</f>
        <v>0</v>
      </c>
      <c r="J85" s="124">
        <f t="shared" ref="J85:J87" si="46">TRUNC(E85*G85,2)</f>
        <v>0</v>
      </c>
      <c r="K85" s="124">
        <f t="shared" ref="K85:K87" si="47">TRUNC(E85*H85,2)</f>
        <v>0</v>
      </c>
      <c r="L85" s="121">
        <f t="shared" ref="L85:L87" si="48">J85+K85</f>
        <v>0</v>
      </c>
      <c r="M85" s="129">
        <f t="shared" si="41"/>
        <v>0</v>
      </c>
      <c r="N85" s="179">
        <f t="shared" si="44"/>
        <v>3</v>
      </c>
    </row>
    <row r="86" spans="1:14" s="141" customFormat="1" ht="60.6" customHeight="1" x14ac:dyDescent="0.25">
      <c r="A86" s="130" t="s">
        <v>670</v>
      </c>
      <c r="B86" s="309" t="s">
        <v>138</v>
      </c>
      <c r="C86" s="310" t="s">
        <v>31</v>
      </c>
      <c r="D86" s="324">
        <v>3</v>
      </c>
      <c r="E86" s="324">
        <v>1377.86</v>
      </c>
      <c r="F86" s="324">
        <v>4133.58</v>
      </c>
      <c r="G86" s="124">
        <v>0</v>
      </c>
      <c r="H86" s="124">
        <v>0</v>
      </c>
      <c r="I86" s="121">
        <f t="shared" si="45"/>
        <v>0</v>
      </c>
      <c r="J86" s="124">
        <f t="shared" si="46"/>
        <v>0</v>
      </c>
      <c r="K86" s="124">
        <f t="shared" si="47"/>
        <v>0</v>
      </c>
      <c r="L86" s="121">
        <f t="shared" si="48"/>
        <v>0</v>
      </c>
      <c r="M86" s="129">
        <f t="shared" si="41"/>
        <v>0</v>
      </c>
      <c r="N86" s="179">
        <f t="shared" si="44"/>
        <v>3</v>
      </c>
    </row>
    <row r="87" spans="1:14" s="141" customFormat="1" ht="39.6" x14ac:dyDescent="0.25">
      <c r="A87" s="130" t="s">
        <v>671</v>
      </c>
      <c r="B87" s="309" t="s">
        <v>140</v>
      </c>
      <c r="C87" s="310" t="s">
        <v>31</v>
      </c>
      <c r="D87" s="324">
        <v>2</v>
      </c>
      <c r="E87" s="324">
        <v>1698.26</v>
      </c>
      <c r="F87" s="324">
        <v>3396.52</v>
      </c>
      <c r="G87" s="124">
        <v>0</v>
      </c>
      <c r="H87" s="124">
        <v>0</v>
      </c>
      <c r="I87" s="121">
        <f t="shared" si="45"/>
        <v>0</v>
      </c>
      <c r="J87" s="124">
        <f t="shared" si="46"/>
        <v>0</v>
      </c>
      <c r="K87" s="124">
        <f t="shared" si="47"/>
        <v>0</v>
      </c>
      <c r="L87" s="121">
        <f t="shared" si="48"/>
        <v>0</v>
      </c>
      <c r="M87" s="129">
        <f t="shared" si="41"/>
        <v>0</v>
      </c>
      <c r="N87" s="179">
        <f t="shared" si="44"/>
        <v>2</v>
      </c>
    </row>
    <row r="88" spans="1:14" ht="25.5" customHeight="1" x14ac:dyDescent="0.25">
      <c r="A88" s="133" t="s">
        <v>929</v>
      </c>
      <c r="B88" s="317" t="s">
        <v>142</v>
      </c>
      <c r="C88" s="134"/>
      <c r="D88" s="335"/>
      <c r="E88" s="335"/>
      <c r="F88" s="342">
        <f>SUM(F89:F91)</f>
        <v>996.44999999999993</v>
      </c>
      <c r="G88" s="136"/>
      <c r="H88" s="136"/>
      <c r="I88" s="136"/>
      <c r="J88" s="138">
        <f>SUM(J89:J91)</f>
        <v>0</v>
      </c>
      <c r="K88" s="138">
        <f>SUM(K89:K91)</f>
        <v>0</v>
      </c>
      <c r="L88" s="138"/>
      <c r="M88" s="139">
        <f>L88/F88</f>
        <v>0</v>
      </c>
    </row>
    <row r="89" spans="1:14" s="141" customFormat="1" ht="26.4" x14ac:dyDescent="0.25">
      <c r="A89" s="130" t="s">
        <v>672</v>
      </c>
      <c r="B89" s="309" t="s">
        <v>144</v>
      </c>
      <c r="C89" s="310" t="s">
        <v>31</v>
      </c>
      <c r="D89" s="324">
        <v>2</v>
      </c>
      <c r="E89" s="324">
        <v>278.38</v>
      </c>
      <c r="F89" s="324">
        <v>556.76</v>
      </c>
      <c r="G89" s="124">
        <v>0</v>
      </c>
      <c r="H89" s="124">
        <v>0</v>
      </c>
      <c r="I89" s="121">
        <f>G89+H89</f>
        <v>0</v>
      </c>
      <c r="J89" s="124">
        <f>TRUNC(E89*G89,2)</f>
        <v>0</v>
      </c>
      <c r="K89" s="124">
        <f>TRUNC(E89*H89,2)</f>
        <v>0</v>
      </c>
      <c r="L89" s="121">
        <f>J89+K89</f>
        <v>0</v>
      </c>
      <c r="M89" s="129">
        <f t="shared" ref="M89:M105" si="49">L89/F89</f>
        <v>0</v>
      </c>
      <c r="N89" s="179">
        <f t="shared" ref="N89:N91" si="50">D89-I89</f>
        <v>2</v>
      </c>
    </row>
    <row r="90" spans="1:14" s="141" customFormat="1" ht="26.4" x14ac:dyDescent="0.25">
      <c r="A90" s="130" t="s">
        <v>673</v>
      </c>
      <c r="B90" s="309" t="s">
        <v>146</v>
      </c>
      <c r="C90" s="310" t="s">
        <v>31</v>
      </c>
      <c r="D90" s="324">
        <v>5</v>
      </c>
      <c r="E90" s="324">
        <v>48.08</v>
      </c>
      <c r="F90" s="324">
        <v>240.4</v>
      </c>
      <c r="G90" s="124">
        <v>0</v>
      </c>
      <c r="H90" s="124">
        <v>0</v>
      </c>
      <c r="I90" s="121">
        <f>G90+H90</f>
        <v>0</v>
      </c>
      <c r="J90" s="124">
        <f>TRUNC(E90*G90,2)</f>
        <v>0</v>
      </c>
      <c r="K90" s="124">
        <f>TRUNC(E90*H90,2)</f>
        <v>0</v>
      </c>
      <c r="L90" s="121">
        <f>J90+K90</f>
        <v>0</v>
      </c>
      <c r="M90" s="129">
        <f t="shared" si="49"/>
        <v>0</v>
      </c>
      <c r="N90" s="179">
        <f t="shared" si="50"/>
        <v>5</v>
      </c>
    </row>
    <row r="91" spans="1:14" s="141" customFormat="1" ht="26.4" x14ac:dyDescent="0.25">
      <c r="A91" s="130" t="s">
        <v>674</v>
      </c>
      <c r="B91" s="309" t="s">
        <v>148</v>
      </c>
      <c r="C91" s="310" t="s">
        <v>111</v>
      </c>
      <c r="D91" s="324">
        <v>2.88</v>
      </c>
      <c r="E91" s="324">
        <v>69.2</v>
      </c>
      <c r="F91" s="327">
        <v>199.29</v>
      </c>
      <c r="G91" s="124">
        <v>0</v>
      </c>
      <c r="H91" s="124">
        <v>0</v>
      </c>
      <c r="I91" s="121">
        <f>G91+H91</f>
        <v>0</v>
      </c>
      <c r="J91" s="124">
        <f>TRUNC(E91*G91,2)</f>
        <v>0</v>
      </c>
      <c r="K91" s="124">
        <f>TRUNC(E91*H91,2)</f>
        <v>0</v>
      </c>
      <c r="L91" s="121">
        <f>J91+K91</f>
        <v>0</v>
      </c>
      <c r="M91" s="129">
        <f t="shared" si="49"/>
        <v>0</v>
      </c>
      <c r="N91" s="179">
        <f t="shared" si="50"/>
        <v>2.88</v>
      </c>
    </row>
    <row r="92" spans="1:14" s="141" customFormat="1" ht="21" customHeight="1" x14ac:dyDescent="0.25">
      <c r="A92" s="133" t="s">
        <v>930</v>
      </c>
      <c r="B92" s="317" t="s">
        <v>150</v>
      </c>
      <c r="C92" s="134"/>
      <c r="D92" s="335"/>
      <c r="E92" s="335"/>
      <c r="F92" s="338">
        <f>F93</f>
        <v>461.96</v>
      </c>
      <c r="G92" s="136"/>
      <c r="H92" s="136"/>
      <c r="I92" s="136"/>
      <c r="J92" s="138">
        <f>SUM(J93:J93)</f>
        <v>0</v>
      </c>
      <c r="K92" s="138">
        <f>SUM(K93:K93)</f>
        <v>0</v>
      </c>
      <c r="L92" s="138">
        <f>SUM(L93:L93)</f>
        <v>0</v>
      </c>
      <c r="M92" s="139">
        <f t="shared" si="49"/>
        <v>0</v>
      </c>
    </row>
    <row r="93" spans="1:14" s="141" customFormat="1" ht="39.6" x14ac:dyDescent="0.25">
      <c r="A93" s="130" t="s">
        <v>675</v>
      </c>
      <c r="B93" s="309" t="s">
        <v>152</v>
      </c>
      <c r="C93" s="310" t="s">
        <v>24</v>
      </c>
      <c r="D93" s="324">
        <v>1.68</v>
      </c>
      <c r="E93" s="324">
        <v>274.98</v>
      </c>
      <c r="F93" s="327">
        <v>461.96</v>
      </c>
      <c r="G93" s="124">
        <v>0</v>
      </c>
      <c r="H93" s="124">
        <v>0</v>
      </c>
      <c r="I93" s="121">
        <f>G93+H93</f>
        <v>0</v>
      </c>
      <c r="J93" s="124">
        <f>TRUNC(E93*G93,2)</f>
        <v>0</v>
      </c>
      <c r="K93" s="124">
        <f>TRUNC(E93*H93,2)</f>
        <v>0</v>
      </c>
      <c r="L93" s="121">
        <f>J93+K93</f>
        <v>0</v>
      </c>
      <c r="M93" s="129">
        <f t="shared" si="49"/>
        <v>0</v>
      </c>
      <c r="N93" s="179">
        <f t="shared" ref="N93" si="51">D93-I93</f>
        <v>1.68</v>
      </c>
    </row>
    <row r="94" spans="1:14" s="141" customFormat="1" ht="27" customHeight="1" x14ac:dyDescent="0.25">
      <c r="A94" s="133" t="s">
        <v>931</v>
      </c>
      <c r="B94" s="317" t="s">
        <v>154</v>
      </c>
      <c r="C94" s="134"/>
      <c r="D94" s="335"/>
      <c r="E94" s="335"/>
      <c r="F94" s="338">
        <f>SUM(F95:F105)</f>
        <v>120131.96</v>
      </c>
      <c r="G94" s="136"/>
      <c r="H94" s="136"/>
      <c r="I94" s="136"/>
      <c r="J94" s="138">
        <f>SUM(J95:J105)</f>
        <v>0</v>
      </c>
      <c r="K94" s="138">
        <f>SUM(K95:K105)</f>
        <v>0</v>
      </c>
      <c r="L94" s="138">
        <f>SUM(L95:L95)</f>
        <v>0</v>
      </c>
      <c r="M94" s="139">
        <f t="shared" si="49"/>
        <v>0</v>
      </c>
    </row>
    <row r="95" spans="1:14" s="141" customFormat="1" ht="39.6" x14ac:dyDescent="0.25">
      <c r="A95" s="130" t="s">
        <v>676</v>
      </c>
      <c r="B95" s="309" t="s">
        <v>156</v>
      </c>
      <c r="C95" s="310" t="s">
        <v>24</v>
      </c>
      <c r="D95" s="324">
        <v>0.24</v>
      </c>
      <c r="E95" s="324">
        <v>1295.3699999999999</v>
      </c>
      <c r="F95" s="324">
        <v>310.88</v>
      </c>
      <c r="G95" s="124">
        <v>0</v>
      </c>
      <c r="H95" s="124">
        <v>0</v>
      </c>
      <c r="I95" s="121">
        <f t="shared" ref="I95:I105" si="52">G95+H95</f>
        <v>0</v>
      </c>
      <c r="J95" s="124">
        <f t="shared" ref="J95:J105" si="53">TRUNC(E95*G95,2)</f>
        <v>0</v>
      </c>
      <c r="K95" s="124">
        <f t="shared" ref="K95:K105" si="54">TRUNC(E95*H95,2)</f>
        <v>0</v>
      </c>
      <c r="L95" s="121">
        <f t="shared" ref="L95:L105" si="55">J95+K95</f>
        <v>0</v>
      </c>
      <c r="M95" s="129">
        <f t="shared" si="49"/>
        <v>0</v>
      </c>
      <c r="N95" s="179">
        <f t="shared" ref="N95:N105" si="56">D95-I95</f>
        <v>0.24</v>
      </c>
    </row>
    <row r="96" spans="1:14" s="141" customFormat="1" ht="39.6" x14ac:dyDescent="0.25">
      <c r="A96" s="130" t="s">
        <v>677</v>
      </c>
      <c r="B96" s="309" t="s">
        <v>156</v>
      </c>
      <c r="C96" s="310" t="s">
        <v>24</v>
      </c>
      <c r="D96" s="324">
        <v>1.08</v>
      </c>
      <c r="E96" s="324">
        <v>1295.3699999999999</v>
      </c>
      <c r="F96" s="324">
        <v>1398.99</v>
      </c>
      <c r="G96" s="124">
        <v>0</v>
      </c>
      <c r="H96" s="124">
        <v>0</v>
      </c>
      <c r="I96" s="121">
        <f t="shared" si="52"/>
        <v>0</v>
      </c>
      <c r="J96" s="124">
        <f t="shared" si="53"/>
        <v>0</v>
      </c>
      <c r="K96" s="124">
        <f t="shared" si="54"/>
        <v>0</v>
      </c>
      <c r="L96" s="121">
        <f t="shared" si="55"/>
        <v>0</v>
      </c>
      <c r="M96" s="129">
        <f t="shared" si="49"/>
        <v>0</v>
      </c>
      <c r="N96" s="179">
        <f t="shared" si="56"/>
        <v>1.08</v>
      </c>
    </row>
    <row r="97" spans="1:14" s="141" customFormat="1" ht="39.6" x14ac:dyDescent="0.25">
      <c r="A97" s="130" t="s">
        <v>678</v>
      </c>
      <c r="B97" s="309" t="s">
        <v>156</v>
      </c>
      <c r="C97" s="310" t="s">
        <v>24</v>
      </c>
      <c r="D97" s="324">
        <v>3.2</v>
      </c>
      <c r="E97" s="324">
        <v>1295.3699999999999</v>
      </c>
      <c r="F97" s="324">
        <v>4145.18</v>
      </c>
      <c r="G97" s="124">
        <v>0</v>
      </c>
      <c r="H97" s="124">
        <v>0</v>
      </c>
      <c r="I97" s="121">
        <f t="shared" si="52"/>
        <v>0</v>
      </c>
      <c r="J97" s="124">
        <f t="shared" si="53"/>
        <v>0</v>
      </c>
      <c r="K97" s="124">
        <f t="shared" si="54"/>
        <v>0</v>
      </c>
      <c r="L97" s="121">
        <f t="shared" si="55"/>
        <v>0</v>
      </c>
      <c r="M97" s="129">
        <f t="shared" si="49"/>
        <v>0</v>
      </c>
      <c r="N97" s="179">
        <f t="shared" si="56"/>
        <v>3.2</v>
      </c>
    </row>
    <row r="98" spans="1:14" s="141" customFormat="1" ht="52.8" x14ac:dyDescent="0.25">
      <c r="A98" s="130" t="s">
        <v>679</v>
      </c>
      <c r="B98" s="309" t="s">
        <v>158</v>
      </c>
      <c r="C98" s="310" t="s">
        <v>24</v>
      </c>
      <c r="D98" s="324">
        <v>0.6</v>
      </c>
      <c r="E98" s="324">
        <v>688.71</v>
      </c>
      <c r="F98" s="324">
        <v>413.22</v>
      </c>
      <c r="G98" s="124">
        <v>0</v>
      </c>
      <c r="H98" s="124">
        <v>0</v>
      </c>
      <c r="I98" s="121">
        <f t="shared" si="52"/>
        <v>0</v>
      </c>
      <c r="J98" s="124">
        <f t="shared" si="53"/>
        <v>0</v>
      </c>
      <c r="K98" s="124">
        <f t="shared" si="54"/>
        <v>0</v>
      </c>
      <c r="L98" s="121">
        <f t="shared" si="55"/>
        <v>0</v>
      </c>
      <c r="M98" s="129">
        <f t="shared" si="49"/>
        <v>0</v>
      </c>
      <c r="N98" s="179">
        <f t="shared" si="56"/>
        <v>0.6</v>
      </c>
    </row>
    <row r="99" spans="1:14" s="141" customFormat="1" ht="52.8" x14ac:dyDescent="0.25">
      <c r="A99" s="130" t="s">
        <v>680</v>
      </c>
      <c r="B99" s="309" t="s">
        <v>158</v>
      </c>
      <c r="C99" s="310" t="s">
        <v>24</v>
      </c>
      <c r="D99" s="324">
        <v>6</v>
      </c>
      <c r="E99" s="324">
        <v>688.71</v>
      </c>
      <c r="F99" s="324">
        <v>4132.26</v>
      </c>
      <c r="G99" s="124">
        <v>0</v>
      </c>
      <c r="H99" s="124">
        <v>0</v>
      </c>
      <c r="I99" s="121">
        <f t="shared" si="52"/>
        <v>0</v>
      </c>
      <c r="J99" s="124">
        <f t="shared" si="53"/>
        <v>0</v>
      </c>
      <c r="K99" s="124">
        <f t="shared" si="54"/>
        <v>0</v>
      </c>
      <c r="L99" s="121">
        <f t="shared" si="55"/>
        <v>0</v>
      </c>
      <c r="M99" s="129">
        <f t="shared" si="49"/>
        <v>0</v>
      </c>
      <c r="N99" s="179">
        <f t="shared" si="56"/>
        <v>6</v>
      </c>
    </row>
    <row r="100" spans="1:14" s="141" customFormat="1" ht="39.6" x14ac:dyDescent="0.25">
      <c r="A100" s="130" t="s">
        <v>681</v>
      </c>
      <c r="B100" s="309" t="s">
        <v>156</v>
      </c>
      <c r="C100" s="310" t="s">
        <v>24</v>
      </c>
      <c r="D100" s="324">
        <v>3.3</v>
      </c>
      <c r="E100" s="324">
        <v>1295.3699999999999</v>
      </c>
      <c r="F100" s="324">
        <v>4274.72</v>
      </c>
      <c r="G100" s="124">
        <v>0</v>
      </c>
      <c r="H100" s="124">
        <v>0</v>
      </c>
      <c r="I100" s="121">
        <f t="shared" si="52"/>
        <v>0</v>
      </c>
      <c r="J100" s="124">
        <f t="shared" si="53"/>
        <v>0</v>
      </c>
      <c r="K100" s="124">
        <f t="shared" si="54"/>
        <v>0</v>
      </c>
      <c r="L100" s="121">
        <f t="shared" si="55"/>
        <v>0</v>
      </c>
      <c r="M100" s="129">
        <f t="shared" si="49"/>
        <v>0</v>
      </c>
      <c r="N100" s="179">
        <f t="shared" si="56"/>
        <v>3.3</v>
      </c>
    </row>
    <row r="101" spans="1:14" s="141" customFormat="1" ht="39.6" x14ac:dyDescent="0.25">
      <c r="A101" s="130" t="s">
        <v>682</v>
      </c>
      <c r="B101" s="309" t="s">
        <v>156</v>
      </c>
      <c r="C101" s="310" t="s">
        <v>24</v>
      </c>
      <c r="D101" s="324">
        <v>8.8000000000000007</v>
      </c>
      <c r="E101" s="324">
        <v>1295.3699999999999</v>
      </c>
      <c r="F101" s="324">
        <v>11399.25</v>
      </c>
      <c r="G101" s="124">
        <v>0</v>
      </c>
      <c r="H101" s="124">
        <v>0</v>
      </c>
      <c r="I101" s="121">
        <f t="shared" si="52"/>
        <v>0</v>
      </c>
      <c r="J101" s="124">
        <f t="shared" si="53"/>
        <v>0</v>
      </c>
      <c r="K101" s="124">
        <f t="shared" si="54"/>
        <v>0</v>
      </c>
      <c r="L101" s="121">
        <f t="shared" si="55"/>
        <v>0</v>
      </c>
      <c r="M101" s="129">
        <f t="shared" si="49"/>
        <v>0</v>
      </c>
      <c r="N101" s="179">
        <f t="shared" si="56"/>
        <v>8.8000000000000007</v>
      </c>
    </row>
    <row r="102" spans="1:14" s="141" customFormat="1" ht="39.6" x14ac:dyDescent="0.25">
      <c r="A102" s="130" t="s">
        <v>683</v>
      </c>
      <c r="B102" s="309" t="s">
        <v>156</v>
      </c>
      <c r="C102" s="310" t="s">
        <v>24</v>
      </c>
      <c r="D102" s="324">
        <v>67.760000000000005</v>
      </c>
      <c r="E102" s="324">
        <v>1295.3699999999999</v>
      </c>
      <c r="F102" s="324">
        <v>87774.27</v>
      </c>
      <c r="G102" s="124">
        <v>0</v>
      </c>
      <c r="H102" s="124">
        <v>0</v>
      </c>
      <c r="I102" s="121">
        <f t="shared" si="52"/>
        <v>0</v>
      </c>
      <c r="J102" s="124">
        <f t="shared" si="53"/>
        <v>0</v>
      </c>
      <c r="K102" s="124">
        <f t="shared" si="54"/>
        <v>0</v>
      </c>
      <c r="L102" s="121">
        <f t="shared" si="55"/>
        <v>0</v>
      </c>
      <c r="M102" s="129">
        <f t="shared" si="49"/>
        <v>0</v>
      </c>
      <c r="N102" s="179">
        <f t="shared" si="56"/>
        <v>67.760000000000005</v>
      </c>
    </row>
    <row r="103" spans="1:14" s="141" customFormat="1" x14ac:dyDescent="0.25">
      <c r="A103" s="130" t="s">
        <v>684</v>
      </c>
      <c r="B103" s="309" t="s">
        <v>160</v>
      </c>
      <c r="C103" s="310" t="s">
        <v>24</v>
      </c>
      <c r="D103" s="324">
        <v>6.48</v>
      </c>
      <c r="E103" s="324">
        <v>483.96</v>
      </c>
      <c r="F103" s="324">
        <v>3136.06</v>
      </c>
      <c r="G103" s="124">
        <v>0</v>
      </c>
      <c r="H103" s="124">
        <v>0</v>
      </c>
      <c r="I103" s="121">
        <f t="shared" si="52"/>
        <v>0</v>
      </c>
      <c r="J103" s="124">
        <f t="shared" si="53"/>
        <v>0</v>
      </c>
      <c r="K103" s="124">
        <f t="shared" si="54"/>
        <v>0</v>
      </c>
      <c r="L103" s="121">
        <f t="shared" si="55"/>
        <v>0</v>
      </c>
      <c r="M103" s="129">
        <f t="shared" si="49"/>
        <v>0</v>
      </c>
      <c r="N103" s="179">
        <f t="shared" si="56"/>
        <v>6.48</v>
      </c>
    </row>
    <row r="104" spans="1:14" s="141" customFormat="1" ht="39.6" x14ac:dyDescent="0.25">
      <c r="A104" s="130" t="s">
        <v>685</v>
      </c>
      <c r="B104" s="309" t="s">
        <v>162</v>
      </c>
      <c r="C104" s="310" t="s">
        <v>24</v>
      </c>
      <c r="D104" s="324">
        <v>1.98</v>
      </c>
      <c r="E104" s="324">
        <v>1468.47</v>
      </c>
      <c r="F104" s="324">
        <v>2907.57</v>
      </c>
      <c r="G104" s="124">
        <v>0</v>
      </c>
      <c r="H104" s="124">
        <v>0</v>
      </c>
      <c r="I104" s="121">
        <f t="shared" si="52"/>
        <v>0</v>
      </c>
      <c r="J104" s="124">
        <f t="shared" si="53"/>
        <v>0</v>
      </c>
      <c r="K104" s="124">
        <f t="shared" si="54"/>
        <v>0</v>
      </c>
      <c r="L104" s="121">
        <f t="shared" si="55"/>
        <v>0</v>
      </c>
      <c r="M104" s="129">
        <f t="shared" si="49"/>
        <v>0</v>
      </c>
      <c r="N104" s="179">
        <f t="shared" si="56"/>
        <v>1.98</v>
      </c>
    </row>
    <row r="105" spans="1:14" s="141" customFormat="1" ht="26.4" x14ac:dyDescent="0.25">
      <c r="A105" s="130" t="s">
        <v>686</v>
      </c>
      <c r="B105" s="309" t="s">
        <v>164</v>
      </c>
      <c r="C105" s="310" t="s">
        <v>24</v>
      </c>
      <c r="D105" s="324">
        <v>4.2</v>
      </c>
      <c r="E105" s="324">
        <v>57.04</v>
      </c>
      <c r="F105" s="324">
        <v>239.56</v>
      </c>
      <c r="G105" s="124">
        <v>0</v>
      </c>
      <c r="H105" s="124">
        <v>0</v>
      </c>
      <c r="I105" s="121">
        <f t="shared" si="52"/>
        <v>0</v>
      </c>
      <c r="J105" s="124">
        <f t="shared" si="53"/>
        <v>0</v>
      </c>
      <c r="K105" s="124">
        <f t="shared" si="54"/>
        <v>0</v>
      </c>
      <c r="L105" s="121">
        <f t="shared" si="55"/>
        <v>0</v>
      </c>
      <c r="M105" s="129">
        <f t="shared" si="49"/>
        <v>0</v>
      </c>
      <c r="N105" s="179">
        <f t="shared" si="56"/>
        <v>4.2</v>
      </c>
    </row>
    <row r="106" spans="1:14" ht="27.75" customHeight="1" x14ac:dyDescent="0.25">
      <c r="A106" s="133" t="s">
        <v>932</v>
      </c>
      <c r="B106" s="317" t="s">
        <v>166</v>
      </c>
      <c r="C106" s="134"/>
      <c r="D106" s="335"/>
      <c r="E106" s="335"/>
      <c r="F106" s="342">
        <f>SUM(F107:F108)</f>
        <v>2280.14</v>
      </c>
      <c r="G106" s="136"/>
      <c r="H106" s="136"/>
      <c r="I106" s="136"/>
      <c r="J106" s="138">
        <f>J107+J108</f>
        <v>0</v>
      </c>
      <c r="K106" s="138">
        <f>K107+K108</f>
        <v>0</v>
      </c>
      <c r="L106" s="138"/>
      <c r="M106" s="139">
        <f>L106/F106</f>
        <v>0</v>
      </c>
    </row>
    <row r="107" spans="1:14" s="141" customFormat="1" x14ac:dyDescent="0.25">
      <c r="A107" s="130" t="s">
        <v>687</v>
      </c>
      <c r="B107" s="309" t="s">
        <v>168</v>
      </c>
      <c r="C107" s="310" t="s">
        <v>24</v>
      </c>
      <c r="D107" s="324">
        <v>1.98</v>
      </c>
      <c r="E107" s="324">
        <v>241.08</v>
      </c>
      <c r="F107" s="324">
        <v>477.33</v>
      </c>
      <c r="G107" s="124">
        <v>0</v>
      </c>
      <c r="H107" s="124">
        <v>0</v>
      </c>
      <c r="I107" s="121">
        <f>G107+H107</f>
        <v>0</v>
      </c>
      <c r="J107" s="124">
        <f>TRUNC(E107*G107,2)</f>
        <v>0</v>
      </c>
      <c r="K107" s="124">
        <f>TRUNC(E107*H107,2)</f>
        <v>0</v>
      </c>
      <c r="L107" s="121">
        <f>J107+K107</f>
        <v>0</v>
      </c>
      <c r="M107" s="129">
        <f t="shared" ref="M107:M108" si="57">L107/F107</f>
        <v>0</v>
      </c>
      <c r="N107" s="179">
        <f t="shared" ref="N107:N108" si="58">D107-I107</f>
        <v>1.98</v>
      </c>
    </row>
    <row r="108" spans="1:14" s="141" customFormat="1" ht="26.4" x14ac:dyDescent="0.25">
      <c r="A108" s="130" t="s">
        <v>688</v>
      </c>
      <c r="B108" s="309" t="s">
        <v>170</v>
      </c>
      <c r="C108" s="310" t="s">
        <v>24</v>
      </c>
      <c r="D108" s="324">
        <v>4.4000000000000004</v>
      </c>
      <c r="E108" s="324">
        <v>409.73</v>
      </c>
      <c r="F108" s="324">
        <v>1802.81</v>
      </c>
      <c r="G108" s="124">
        <v>0</v>
      </c>
      <c r="H108" s="124">
        <v>0</v>
      </c>
      <c r="I108" s="121">
        <f>G108+H108</f>
        <v>0</v>
      </c>
      <c r="J108" s="124">
        <f>TRUNC(E108*G108,2)</f>
        <v>0</v>
      </c>
      <c r="K108" s="124">
        <f>TRUNC(E108*H108,2)</f>
        <v>0</v>
      </c>
      <c r="L108" s="121">
        <f>J108+K108</f>
        <v>0</v>
      </c>
      <c r="M108" s="129">
        <f t="shared" si="57"/>
        <v>0</v>
      </c>
      <c r="N108" s="179">
        <f t="shared" si="58"/>
        <v>4.4000000000000004</v>
      </c>
    </row>
    <row r="109" spans="1:14" ht="27" customHeight="1" x14ac:dyDescent="0.25">
      <c r="A109" s="131">
        <v>7</v>
      </c>
      <c r="B109" s="313" t="s">
        <v>172</v>
      </c>
      <c r="C109" s="132"/>
      <c r="D109" s="343"/>
      <c r="E109" s="343"/>
      <c r="F109" s="344">
        <f>SUM(F110:F117)</f>
        <v>219581.14</v>
      </c>
      <c r="G109" s="128"/>
      <c r="H109" s="128"/>
      <c r="I109" s="128"/>
      <c r="J109" s="117">
        <f>SUM(J110:J117)</f>
        <v>0</v>
      </c>
      <c r="K109" s="117">
        <f>SUM(K110:K117)</f>
        <v>0</v>
      </c>
      <c r="L109" s="117">
        <f>L110+L112</f>
        <v>0</v>
      </c>
      <c r="M109" s="314">
        <f>L109/F109</f>
        <v>0</v>
      </c>
    </row>
    <row r="110" spans="1:14" s="141" customFormat="1" ht="52.8" x14ac:dyDescent="0.25">
      <c r="A110" s="130" t="s">
        <v>689</v>
      </c>
      <c r="B110" s="309" t="s">
        <v>174</v>
      </c>
      <c r="C110" s="310" t="s">
        <v>31</v>
      </c>
      <c r="D110" s="326">
        <v>23</v>
      </c>
      <c r="E110" s="326">
        <v>1737.24</v>
      </c>
      <c r="F110" s="326">
        <v>39956.519999999997</v>
      </c>
      <c r="G110" s="124">
        <v>0</v>
      </c>
      <c r="H110" s="124">
        <v>0</v>
      </c>
      <c r="I110" s="121">
        <f>G110+H110</f>
        <v>0</v>
      </c>
      <c r="J110" s="124">
        <f>TRUNC(E110*G110,2)</f>
        <v>0</v>
      </c>
      <c r="K110" s="124">
        <f>TRUNC(E110*H110,2)</f>
        <v>0</v>
      </c>
      <c r="L110" s="121">
        <f>J110+K110</f>
        <v>0</v>
      </c>
      <c r="M110" s="129">
        <f t="shared" ref="M110:M117" si="59">L110/F110</f>
        <v>0</v>
      </c>
      <c r="N110" s="179">
        <f t="shared" ref="N110:N117" si="60">D110-I110</f>
        <v>23</v>
      </c>
    </row>
    <row r="111" spans="1:14" s="141" customFormat="1" ht="52.8" x14ac:dyDescent="0.25">
      <c r="A111" s="130" t="s">
        <v>690</v>
      </c>
      <c r="B111" s="309" t="s">
        <v>176</v>
      </c>
      <c r="C111" s="310" t="s">
        <v>31</v>
      </c>
      <c r="D111" s="324">
        <v>10</v>
      </c>
      <c r="E111" s="324">
        <v>1410.29</v>
      </c>
      <c r="F111" s="324">
        <v>14102.9</v>
      </c>
      <c r="G111" s="124">
        <v>0</v>
      </c>
      <c r="H111" s="124">
        <v>0</v>
      </c>
      <c r="I111" s="121">
        <f>G111+H111</f>
        <v>0</v>
      </c>
      <c r="J111" s="124">
        <f>TRUNC(E111*G111,2)</f>
        <v>0</v>
      </c>
      <c r="K111" s="124">
        <f>TRUNC(E111*H111,2)</f>
        <v>0</v>
      </c>
      <c r="L111" s="121">
        <f>J111+K111</f>
        <v>0</v>
      </c>
      <c r="M111" s="129">
        <f t="shared" si="59"/>
        <v>0</v>
      </c>
      <c r="N111" s="179">
        <f t="shared" si="60"/>
        <v>10</v>
      </c>
    </row>
    <row r="112" spans="1:14" s="141" customFormat="1" ht="52.8" x14ac:dyDescent="0.25">
      <c r="A112" s="130" t="s">
        <v>691</v>
      </c>
      <c r="B112" s="309" t="s">
        <v>178</v>
      </c>
      <c r="C112" s="310" t="s">
        <v>31</v>
      </c>
      <c r="D112" s="324">
        <v>6</v>
      </c>
      <c r="E112" s="324">
        <v>1122</v>
      </c>
      <c r="F112" s="324">
        <v>6732</v>
      </c>
      <c r="G112" s="124">
        <v>0</v>
      </c>
      <c r="H112" s="124">
        <v>0</v>
      </c>
      <c r="I112" s="121">
        <f>G112+H112</f>
        <v>0</v>
      </c>
      <c r="J112" s="124">
        <f>TRUNC(E112*G112,2)</f>
        <v>0</v>
      </c>
      <c r="K112" s="124">
        <f>H112*E112</f>
        <v>0</v>
      </c>
      <c r="L112" s="121">
        <f>J112+K112</f>
        <v>0</v>
      </c>
      <c r="M112" s="129">
        <f t="shared" si="59"/>
        <v>0</v>
      </c>
      <c r="N112" s="179">
        <f t="shared" si="60"/>
        <v>6</v>
      </c>
    </row>
    <row r="113" spans="1:14" s="141" customFormat="1" ht="39.6" x14ac:dyDescent="0.25">
      <c r="A113" s="130" t="s">
        <v>692</v>
      </c>
      <c r="B113" s="309" t="s">
        <v>180</v>
      </c>
      <c r="C113" s="310" t="s">
        <v>31</v>
      </c>
      <c r="D113" s="324">
        <v>6</v>
      </c>
      <c r="E113" s="324">
        <v>828.65</v>
      </c>
      <c r="F113" s="324">
        <v>4971.8999999999996</v>
      </c>
      <c r="G113" s="124">
        <v>0</v>
      </c>
      <c r="H113" s="124">
        <v>0</v>
      </c>
      <c r="I113" s="121">
        <f t="shared" ref="I113:I117" si="61">G113+H113</f>
        <v>0</v>
      </c>
      <c r="J113" s="124">
        <f t="shared" ref="J113:J117" si="62">TRUNC(E113*G113,2)</f>
        <v>0</v>
      </c>
      <c r="K113" s="124">
        <f t="shared" ref="K113:K117" si="63">TRUNC(E113*H113,2)</f>
        <v>0</v>
      </c>
      <c r="L113" s="121">
        <f t="shared" ref="L113:L117" si="64">J113+K113</f>
        <v>0</v>
      </c>
      <c r="M113" s="129">
        <f t="shared" si="59"/>
        <v>0</v>
      </c>
      <c r="N113" s="179">
        <f t="shared" si="60"/>
        <v>6</v>
      </c>
    </row>
    <row r="114" spans="1:14" s="141" customFormat="1" ht="52.8" x14ac:dyDescent="0.25">
      <c r="A114" s="130" t="s">
        <v>693</v>
      </c>
      <c r="B114" s="309" t="s">
        <v>182</v>
      </c>
      <c r="C114" s="310" t="s">
        <v>24</v>
      </c>
      <c r="D114" s="324">
        <v>1189.68</v>
      </c>
      <c r="E114" s="324">
        <v>64.319999999999993</v>
      </c>
      <c r="F114" s="324">
        <v>76520.210000000006</v>
      </c>
      <c r="G114" s="124">
        <v>0</v>
      </c>
      <c r="H114" s="124">
        <v>0</v>
      </c>
      <c r="I114" s="121">
        <f t="shared" si="61"/>
        <v>0</v>
      </c>
      <c r="J114" s="124">
        <f t="shared" si="62"/>
        <v>0</v>
      </c>
      <c r="K114" s="124">
        <f t="shared" si="63"/>
        <v>0</v>
      </c>
      <c r="L114" s="121">
        <f t="shared" si="64"/>
        <v>0</v>
      </c>
      <c r="M114" s="129">
        <f t="shared" si="59"/>
        <v>0</v>
      </c>
      <c r="N114" s="179">
        <f t="shared" si="60"/>
        <v>1189.68</v>
      </c>
    </row>
    <row r="115" spans="1:14" s="141" customFormat="1" ht="26.4" x14ac:dyDescent="0.25">
      <c r="A115" s="130" t="s">
        <v>694</v>
      </c>
      <c r="B115" s="309" t="s">
        <v>184</v>
      </c>
      <c r="C115" s="310" t="s">
        <v>24</v>
      </c>
      <c r="D115" s="324">
        <v>1714.31</v>
      </c>
      <c r="E115" s="324">
        <v>16.579999999999998</v>
      </c>
      <c r="F115" s="324">
        <v>28423.25</v>
      </c>
      <c r="G115" s="124">
        <v>0</v>
      </c>
      <c r="H115" s="124">
        <v>0</v>
      </c>
      <c r="I115" s="121">
        <f t="shared" si="61"/>
        <v>0</v>
      </c>
      <c r="J115" s="124">
        <f t="shared" si="62"/>
        <v>0</v>
      </c>
      <c r="K115" s="124">
        <f t="shared" si="63"/>
        <v>0</v>
      </c>
      <c r="L115" s="121">
        <f t="shared" si="64"/>
        <v>0</v>
      </c>
      <c r="M115" s="129">
        <f t="shared" si="59"/>
        <v>0</v>
      </c>
      <c r="N115" s="179">
        <f t="shared" si="60"/>
        <v>1714.31</v>
      </c>
    </row>
    <row r="116" spans="1:14" s="141" customFormat="1" ht="39.6" x14ac:dyDescent="0.25">
      <c r="A116" s="130" t="s">
        <v>695</v>
      </c>
      <c r="B116" s="309" t="s">
        <v>186</v>
      </c>
      <c r="C116" s="310" t="s">
        <v>24</v>
      </c>
      <c r="D116" s="324">
        <v>1889.68</v>
      </c>
      <c r="E116" s="324">
        <v>23.73</v>
      </c>
      <c r="F116" s="324">
        <v>44842.1</v>
      </c>
      <c r="G116" s="124">
        <v>0</v>
      </c>
      <c r="H116" s="124">
        <v>0</v>
      </c>
      <c r="I116" s="121">
        <f t="shared" si="61"/>
        <v>0</v>
      </c>
      <c r="J116" s="124">
        <f t="shared" si="62"/>
        <v>0</v>
      </c>
      <c r="K116" s="124">
        <f t="shared" si="63"/>
        <v>0</v>
      </c>
      <c r="L116" s="121">
        <f t="shared" si="64"/>
        <v>0</v>
      </c>
      <c r="M116" s="129">
        <f t="shared" si="59"/>
        <v>0</v>
      </c>
      <c r="N116" s="179">
        <f t="shared" si="60"/>
        <v>1889.68</v>
      </c>
    </row>
    <row r="117" spans="1:14" s="141" customFormat="1" ht="52.8" x14ac:dyDescent="0.25">
      <c r="A117" s="130" t="s">
        <v>696</v>
      </c>
      <c r="B117" s="309" t="s">
        <v>188</v>
      </c>
      <c r="C117" s="310" t="s">
        <v>116</v>
      </c>
      <c r="D117" s="324">
        <v>213.8</v>
      </c>
      <c r="E117" s="324">
        <v>18.86</v>
      </c>
      <c r="F117" s="327">
        <v>4032.26</v>
      </c>
      <c r="G117" s="124">
        <v>0</v>
      </c>
      <c r="H117" s="124">
        <v>0</v>
      </c>
      <c r="I117" s="121">
        <f t="shared" si="61"/>
        <v>0</v>
      </c>
      <c r="J117" s="124">
        <f t="shared" si="62"/>
        <v>0</v>
      </c>
      <c r="K117" s="124">
        <f t="shared" si="63"/>
        <v>0</v>
      </c>
      <c r="L117" s="121">
        <f t="shared" si="64"/>
        <v>0</v>
      </c>
      <c r="M117" s="129">
        <f t="shared" si="59"/>
        <v>0</v>
      </c>
      <c r="N117" s="179">
        <f t="shared" si="60"/>
        <v>213.8</v>
      </c>
    </row>
    <row r="118" spans="1:14" ht="32.25" customHeight="1" x14ac:dyDescent="0.25">
      <c r="A118" s="131">
        <v>8</v>
      </c>
      <c r="B118" s="313" t="s">
        <v>190</v>
      </c>
      <c r="C118" s="132"/>
      <c r="D118" s="333"/>
      <c r="E118" s="333"/>
      <c r="F118" s="346">
        <f>SUM(F119)</f>
        <v>7332.25</v>
      </c>
      <c r="G118" s="128"/>
      <c r="H118" s="128"/>
      <c r="I118" s="128"/>
      <c r="J118" s="117">
        <f>J119</f>
        <v>7332.25</v>
      </c>
      <c r="K118" s="117">
        <f>K119</f>
        <v>0</v>
      </c>
      <c r="L118" s="117">
        <f>L119</f>
        <v>7332.25</v>
      </c>
      <c r="M118" s="314">
        <f>L118/F118</f>
        <v>1</v>
      </c>
    </row>
    <row r="119" spans="1:14" s="141" customFormat="1" ht="27.75" customHeight="1" x14ac:dyDescent="0.25">
      <c r="A119" s="140" t="s">
        <v>697</v>
      </c>
      <c r="B119" s="309" t="s">
        <v>192</v>
      </c>
      <c r="C119" s="310" t="s">
        <v>24</v>
      </c>
      <c r="D119" s="324">
        <v>463.48</v>
      </c>
      <c r="E119" s="324">
        <v>15.82</v>
      </c>
      <c r="F119" s="327">
        <v>7332.25</v>
      </c>
      <c r="G119" s="124">
        <v>463.48039999999992</v>
      </c>
      <c r="H119" s="124"/>
      <c r="I119" s="121">
        <f t="shared" ref="I119:I128" si="65">G119+H119</f>
        <v>463.48039999999992</v>
      </c>
      <c r="J119" s="124">
        <f t="shared" ref="J119:J128" si="66">TRUNC(E119*G119,2)</f>
        <v>7332.25</v>
      </c>
      <c r="K119" s="124">
        <f>H119*E119</f>
        <v>0</v>
      </c>
      <c r="L119" s="121">
        <f t="shared" ref="L119:L128" si="67">J119+K119</f>
        <v>7332.25</v>
      </c>
      <c r="M119" s="129">
        <f t="shared" ref="M119:M128" si="68">L119/F119</f>
        <v>1</v>
      </c>
      <c r="N119" s="359">
        <f t="shared" ref="N119" si="69">D119-I119</f>
        <v>-3.9999999989959178E-4</v>
      </c>
    </row>
    <row r="120" spans="1:14" s="141" customFormat="1" ht="24.75" customHeight="1" x14ac:dyDescent="0.25">
      <c r="A120" s="148">
        <v>9</v>
      </c>
      <c r="B120" s="319" t="s">
        <v>194</v>
      </c>
      <c r="C120" s="149"/>
      <c r="D120" s="345"/>
      <c r="E120" s="345"/>
      <c r="F120" s="346">
        <f>SUM(F121:F128)</f>
        <v>154110.93</v>
      </c>
      <c r="G120" s="150">
        <v>0</v>
      </c>
      <c r="H120" s="150">
        <v>0</v>
      </c>
      <c r="I120" s="150">
        <f t="shared" si="65"/>
        <v>0</v>
      </c>
      <c r="J120" s="146">
        <f>SUM(J121:J128)</f>
        <v>1871.33</v>
      </c>
      <c r="K120" s="146">
        <f>SUM(K121:K128)</f>
        <v>1273.5999999999999</v>
      </c>
      <c r="L120" s="146">
        <f>SUM(L121:L128)</f>
        <v>3144.93</v>
      </c>
      <c r="M120" s="314">
        <f>L120/F120</f>
        <v>2.0406923765887337E-2</v>
      </c>
    </row>
    <row r="121" spans="1:14" s="141" customFormat="1" ht="39.6" x14ac:dyDescent="0.25">
      <c r="A121" s="130" t="s">
        <v>698</v>
      </c>
      <c r="B121" s="309" t="s">
        <v>196</v>
      </c>
      <c r="C121" s="310" t="s">
        <v>24</v>
      </c>
      <c r="D121" s="324">
        <v>1969.41</v>
      </c>
      <c r="E121" s="324">
        <v>3.98</v>
      </c>
      <c r="F121" s="324">
        <v>7838.25</v>
      </c>
      <c r="G121" s="124">
        <v>470.18399999999997</v>
      </c>
      <c r="H121" s="124">
        <v>320</v>
      </c>
      <c r="I121" s="121">
        <f t="shared" si="65"/>
        <v>790.18399999999997</v>
      </c>
      <c r="J121" s="124">
        <f t="shared" si="66"/>
        <v>1871.33</v>
      </c>
      <c r="K121" s="124">
        <f t="shared" ref="K121:K128" si="70">TRUNC(E121*H121,2)</f>
        <v>1273.5999999999999</v>
      </c>
      <c r="L121" s="121">
        <f t="shared" si="67"/>
        <v>3144.93</v>
      </c>
      <c r="M121" s="129">
        <f t="shared" si="68"/>
        <v>0.40122859056549609</v>
      </c>
      <c r="N121" s="179">
        <f t="shared" ref="N121:N128" si="71">D121-I121</f>
        <v>1179.2260000000001</v>
      </c>
    </row>
    <row r="122" spans="1:14" s="141" customFormat="1" ht="52.8" x14ac:dyDescent="0.25">
      <c r="A122" s="130" t="s">
        <v>699</v>
      </c>
      <c r="B122" s="309" t="s">
        <v>198</v>
      </c>
      <c r="C122" s="310" t="s">
        <v>24</v>
      </c>
      <c r="D122" s="324">
        <v>579.57000000000005</v>
      </c>
      <c r="E122" s="324">
        <v>6.53</v>
      </c>
      <c r="F122" s="324">
        <v>3784.59</v>
      </c>
      <c r="G122" s="124">
        <v>0</v>
      </c>
      <c r="H122" s="124">
        <v>0</v>
      </c>
      <c r="I122" s="121">
        <f t="shared" si="65"/>
        <v>0</v>
      </c>
      <c r="J122" s="124">
        <f t="shared" si="66"/>
        <v>0</v>
      </c>
      <c r="K122" s="124">
        <f t="shared" si="70"/>
        <v>0</v>
      </c>
      <c r="L122" s="121">
        <f t="shared" si="67"/>
        <v>0</v>
      </c>
      <c r="M122" s="129">
        <f t="shared" si="68"/>
        <v>0</v>
      </c>
      <c r="N122" s="179">
        <f t="shared" si="71"/>
        <v>579.57000000000005</v>
      </c>
    </row>
    <row r="123" spans="1:14" s="141" customFormat="1" ht="79.2" x14ac:dyDescent="0.25">
      <c r="A123" s="130" t="s">
        <v>700</v>
      </c>
      <c r="B123" s="309" t="s">
        <v>200</v>
      </c>
      <c r="C123" s="310" t="s">
        <v>24</v>
      </c>
      <c r="D123" s="324">
        <v>1969.41</v>
      </c>
      <c r="E123" s="324">
        <v>25.82</v>
      </c>
      <c r="F123" s="324">
        <v>50850.16</v>
      </c>
      <c r="G123" s="124">
        <v>0</v>
      </c>
      <c r="H123" s="124">
        <v>0</v>
      </c>
      <c r="I123" s="121">
        <f t="shared" si="65"/>
        <v>0</v>
      </c>
      <c r="J123" s="124">
        <f t="shared" si="66"/>
        <v>0</v>
      </c>
      <c r="K123" s="124">
        <f t="shared" si="70"/>
        <v>0</v>
      </c>
      <c r="L123" s="121">
        <f t="shared" si="67"/>
        <v>0</v>
      </c>
      <c r="M123" s="129">
        <f t="shared" si="68"/>
        <v>0</v>
      </c>
      <c r="N123" s="179">
        <f t="shared" si="71"/>
        <v>1969.41</v>
      </c>
    </row>
    <row r="124" spans="1:14" s="141" customFormat="1" ht="79.2" x14ac:dyDescent="0.25">
      <c r="A124" s="130" t="s">
        <v>701</v>
      </c>
      <c r="B124" s="309" t="s">
        <v>202</v>
      </c>
      <c r="C124" s="310" t="s">
        <v>24</v>
      </c>
      <c r="D124" s="324">
        <v>1307.77</v>
      </c>
      <c r="E124" s="324">
        <v>22.05</v>
      </c>
      <c r="F124" s="324">
        <v>28836.32</v>
      </c>
      <c r="G124" s="124">
        <v>0</v>
      </c>
      <c r="H124" s="124">
        <v>0</v>
      </c>
      <c r="I124" s="121">
        <f t="shared" si="65"/>
        <v>0</v>
      </c>
      <c r="J124" s="124">
        <f t="shared" si="66"/>
        <v>0</v>
      </c>
      <c r="K124" s="124">
        <f t="shared" si="70"/>
        <v>0</v>
      </c>
      <c r="L124" s="121">
        <f t="shared" si="67"/>
        <v>0</v>
      </c>
      <c r="M124" s="129">
        <f t="shared" si="68"/>
        <v>0</v>
      </c>
      <c r="N124" s="179">
        <f t="shared" si="71"/>
        <v>1307.77</v>
      </c>
    </row>
    <row r="125" spans="1:14" s="141" customFormat="1" ht="79.2" x14ac:dyDescent="0.25">
      <c r="A125" s="130" t="s">
        <v>702</v>
      </c>
      <c r="B125" s="309" t="s">
        <v>202</v>
      </c>
      <c r="C125" s="310" t="s">
        <v>24</v>
      </c>
      <c r="D125" s="324">
        <v>579.57000000000005</v>
      </c>
      <c r="E125" s="324">
        <v>22.05</v>
      </c>
      <c r="F125" s="324">
        <v>12779.51</v>
      </c>
      <c r="G125" s="124">
        <v>0</v>
      </c>
      <c r="H125" s="124">
        <v>0</v>
      </c>
      <c r="I125" s="121">
        <f t="shared" si="65"/>
        <v>0</v>
      </c>
      <c r="J125" s="124">
        <f t="shared" si="66"/>
        <v>0</v>
      </c>
      <c r="K125" s="124">
        <f t="shared" si="70"/>
        <v>0</v>
      </c>
      <c r="L125" s="121">
        <f t="shared" si="67"/>
        <v>0</v>
      </c>
      <c r="M125" s="129">
        <f t="shared" si="68"/>
        <v>0</v>
      </c>
      <c r="N125" s="179">
        <f t="shared" si="71"/>
        <v>579.57000000000005</v>
      </c>
    </row>
    <row r="126" spans="1:14" s="141" customFormat="1" ht="52.8" x14ac:dyDescent="0.25">
      <c r="A126" s="130" t="s">
        <v>703</v>
      </c>
      <c r="B126" s="309" t="s">
        <v>204</v>
      </c>
      <c r="C126" s="310" t="s">
        <v>24</v>
      </c>
      <c r="D126" s="324">
        <v>439.53</v>
      </c>
      <c r="E126" s="324">
        <v>64.239999999999995</v>
      </c>
      <c r="F126" s="324">
        <v>28235.4</v>
      </c>
      <c r="G126" s="124">
        <v>0</v>
      </c>
      <c r="H126" s="124">
        <v>0</v>
      </c>
      <c r="I126" s="121">
        <f t="shared" si="65"/>
        <v>0</v>
      </c>
      <c r="J126" s="124">
        <f t="shared" si="66"/>
        <v>0</v>
      </c>
      <c r="K126" s="124">
        <f t="shared" si="70"/>
        <v>0</v>
      </c>
      <c r="L126" s="121">
        <f t="shared" si="67"/>
        <v>0</v>
      </c>
      <c r="M126" s="129">
        <f t="shared" si="68"/>
        <v>0</v>
      </c>
      <c r="N126" s="179">
        <f t="shared" si="71"/>
        <v>439.53</v>
      </c>
    </row>
    <row r="127" spans="1:14" s="141" customFormat="1" ht="39.6" x14ac:dyDescent="0.25">
      <c r="A127" s="130" t="s">
        <v>704</v>
      </c>
      <c r="B127" s="309" t="s">
        <v>206</v>
      </c>
      <c r="C127" s="310" t="s">
        <v>24</v>
      </c>
      <c r="D127" s="324">
        <v>222.12</v>
      </c>
      <c r="E127" s="324">
        <v>62.59</v>
      </c>
      <c r="F127" s="324">
        <v>13902.49</v>
      </c>
      <c r="G127" s="124">
        <v>0</v>
      </c>
      <c r="H127" s="124">
        <v>0</v>
      </c>
      <c r="I127" s="121">
        <f t="shared" si="65"/>
        <v>0</v>
      </c>
      <c r="J127" s="124">
        <f t="shared" si="66"/>
        <v>0</v>
      </c>
      <c r="K127" s="124">
        <f t="shared" si="70"/>
        <v>0</v>
      </c>
      <c r="L127" s="121">
        <f t="shared" si="67"/>
        <v>0</v>
      </c>
      <c r="M127" s="129">
        <f t="shared" si="68"/>
        <v>0</v>
      </c>
      <c r="N127" s="179">
        <f t="shared" si="71"/>
        <v>222.12</v>
      </c>
    </row>
    <row r="128" spans="1:14" s="141" customFormat="1" ht="26.4" x14ac:dyDescent="0.25">
      <c r="A128" s="130" t="s">
        <v>705</v>
      </c>
      <c r="B128" s="309" t="s">
        <v>208</v>
      </c>
      <c r="C128" s="310" t="s">
        <v>116</v>
      </c>
      <c r="D128" s="324">
        <v>257.14999999999998</v>
      </c>
      <c r="E128" s="324">
        <v>30.66</v>
      </c>
      <c r="F128" s="324">
        <v>7884.21</v>
      </c>
      <c r="G128" s="124">
        <v>0</v>
      </c>
      <c r="H128" s="124">
        <v>0</v>
      </c>
      <c r="I128" s="121">
        <f t="shared" si="65"/>
        <v>0</v>
      </c>
      <c r="J128" s="124">
        <f t="shared" si="66"/>
        <v>0</v>
      </c>
      <c r="K128" s="124">
        <f t="shared" si="70"/>
        <v>0</v>
      </c>
      <c r="L128" s="121">
        <f t="shared" si="67"/>
        <v>0</v>
      </c>
      <c r="M128" s="129">
        <f t="shared" si="68"/>
        <v>0</v>
      </c>
      <c r="N128" s="179">
        <f t="shared" si="71"/>
        <v>257.14999999999998</v>
      </c>
    </row>
    <row r="129" spans="1:14" ht="27.75" customHeight="1" x14ac:dyDescent="0.25">
      <c r="A129" s="131">
        <v>10</v>
      </c>
      <c r="B129" s="313" t="s">
        <v>210</v>
      </c>
      <c r="C129" s="132"/>
      <c r="D129" s="343"/>
      <c r="E129" s="343"/>
      <c r="F129" s="344">
        <f>F130+F138</f>
        <v>127667.35</v>
      </c>
      <c r="G129" s="128"/>
      <c r="H129" s="128"/>
      <c r="I129" s="128"/>
      <c r="J129" s="117"/>
      <c r="K129" s="117">
        <f>SUM(K130,K138,)</f>
        <v>13720.72</v>
      </c>
      <c r="L129" s="117">
        <f>SUM(L130,L138,)</f>
        <v>13720.72</v>
      </c>
      <c r="M129" s="314">
        <f>L129/F129</f>
        <v>0.10747242736690311</v>
      </c>
    </row>
    <row r="130" spans="1:14" s="141" customFormat="1" ht="30" customHeight="1" x14ac:dyDescent="0.25">
      <c r="A130" s="151" t="s">
        <v>933</v>
      </c>
      <c r="B130" s="317" t="s">
        <v>212</v>
      </c>
      <c r="C130" s="142"/>
      <c r="D130" s="347"/>
      <c r="E130" s="347"/>
      <c r="F130" s="348">
        <f>SUM(F131:F137)</f>
        <v>102170.13</v>
      </c>
      <c r="G130" s="137">
        <v>0</v>
      </c>
      <c r="H130" s="137">
        <v>0</v>
      </c>
      <c r="I130" s="137">
        <f t="shared" ref="I130:I137" si="72">G130+H130</f>
        <v>0</v>
      </c>
      <c r="J130" s="137">
        <f>SUM(J131:J137)</f>
        <v>0</v>
      </c>
      <c r="K130" s="137">
        <f>SUM(K131:K137)</f>
        <v>13720.72</v>
      </c>
      <c r="L130" s="137">
        <f>SUM(L131:L137)</f>
        <v>13720.72</v>
      </c>
      <c r="M130" s="139">
        <f t="shared" ref="M130:M137" si="73">L130/F130</f>
        <v>0.13429287013728963</v>
      </c>
    </row>
    <row r="131" spans="1:14" s="141" customFormat="1" ht="52.8" x14ac:dyDescent="0.25">
      <c r="A131" s="130" t="s">
        <v>706</v>
      </c>
      <c r="B131" s="309" t="s">
        <v>214</v>
      </c>
      <c r="C131" s="310" t="s">
        <v>24</v>
      </c>
      <c r="D131" s="324">
        <v>814.48</v>
      </c>
      <c r="E131" s="324">
        <v>33.4</v>
      </c>
      <c r="F131" s="324">
        <v>27203.63</v>
      </c>
      <c r="G131" s="124">
        <v>0</v>
      </c>
      <c r="H131" s="124">
        <v>410.8</v>
      </c>
      <c r="I131" s="121">
        <f t="shared" si="72"/>
        <v>410.8</v>
      </c>
      <c r="J131" s="124">
        <f t="shared" ref="J131:J137" si="74">TRUNC(E131*G131,2)</f>
        <v>0</v>
      </c>
      <c r="K131" s="124">
        <f t="shared" ref="K131:K137" si="75">TRUNC(E131*H131,2)</f>
        <v>13720.72</v>
      </c>
      <c r="L131" s="121">
        <f t="shared" ref="L131:L137" si="76">J131+K131</f>
        <v>13720.72</v>
      </c>
      <c r="M131" s="129">
        <f t="shared" si="73"/>
        <v>0.50437092402741834</v>
      </c>
      <c r="N131" s="179">
        <f t="shared" ref="N131:N137" si="77">D131-I131</f>
        <v>403.68</v>
      </c>
    </row>
    <row r="132" spans="1:14" s="141" customFormat="1" ht="39.6" x14ac:dyDescent="0.25">
      <c r="A132" s="130" t="s">
        <v>707</v>
      </c>
      <c r="B132" s="309" t="s">
        <v>216</v>
      </c>
      <c r="C132" s="310" t="s">
        <v>24</v>
      </c>
      <c r="D132" s="324">
        <v>814.48</v>
      </c>
      <c r="E132" s="324">
        <v>30.58</v>
      </c>
      <c r="F132" s="324">
        <v>24906.79</v>
      </c>
      <c r="G132" s="124">
        <v>0</v>
      </c>
      <c r="H132" s="124">
        <v>0</v>
      </c>
      <c r="I132" s="121">
        <f t="shared" si="72"/>
        <v>0</v>
      </c>
      <c r="J132" s="124">
        <f t="shared" si="74"/>
        <v>0</v>
      </c>
      <c r="K132" s="124">
        <f t="shared" si="75"/>
        <v>0</v>
      </c>
      <c r="L132" s="121">
        <f t="shared" si="76"/>
        <v>0</v>
      </c>
      <c r="M132" s="129">
        <f t="shared" si="73"/>
        <v>0</v>
      </c>
      <c r="N132" s="179">
        <f t="shared" si="77"/>
        <v>814.48</v>
      </c>
    </row>
    <row r="133" spans="1:14" s="141" customFormat="1" ht="39.6" x14ac:dyDescent="0.25">
      <c r="A133" s="130" t="s">
        <v>708</v>
      </c>
      <c r="B133" s="309" t="s">
        <v>218</v>
      </c>
      <c r="C133" s="310" t="s">
        <v>24</v>
      </c>
      <c r="D133" s="324">
        <v>65.28</v>
      </c>
      <c r="E133" s="324">
        <v>50.5</v>
      </c>
      <c r="F133" s="324">
        <v>3296.64</v>
      </c>
      <c r="G133" s="124">
        <v>0</v>
      </c>
      <c r="H133" s="124">
        <v>0</v>
      </c>
      <c r="I133" s="121">
        <f t="shared" si="72"/>
        <v>0</v>
      </c>
      <c r="J133" s="124">
        <f t="shared" si="74"/>
        <v>0</v>
      </c>
      <c r="K133" s="124">
        <f t="shared" si="75"/>
        <v>0</v>
      </c>
      <c r="L133" s="121">
        <f t="shared" si="76"/>
        <v>0</v>
      </c>
      <c r="M133" s="129">
        <f t="shared" si="73"/>
        <v>0</v>
      </c>
      <c r="N133" s="179">
        <f t="shared" si="77"/>
        <v>65.28</v>
      </c>
    </row>
    <row r="134" spans="1:14" s="141" customFormat="1" ht="39.6" x14ac:dyDescent="0.25">
      <c r="A134" s="130" t="s">
        <v>709</v>
      </c>
      <c r="B134" s="309" t="s">
        <v>218</v>
      </c>
      <c r="C134" s="310" t="s">
        <v>24</v>
      </c>
      <c r="D134" s="324">
        <v>749.2</v>
      </c>
      <c r="E134" s="324">
        <v>50.5</v>
      </c>
      <c r="F134" s="324">
        <v>37834.6</v>
      </c>
      <c r="G134" s="124">
        <v>0</v>
      </c>
      <c r="H134" s="124">
        <v>0</v>
      </c>
      <c r="I134" s="121">
        <f t="shared" si="72"/>
        <v>0</v>
      </c>
      <c r="J134" s="124">
        <f t="shared" si="74"/>
        <v>0</v>
      </c>
      <c r="K134" s="124">
        <f t="shared" si="75"/>
        <v>0</v>
      </c>
      <c r="L134" s="121">
        <f t="shared" si="76"/>
        <v>0</v>
      </c>
      <c r="M134" s="129">
        <f t="shared" si="73"/>
        <v>0</v>
      </c>
      <c r="N134" s="179">
        <f t="shared" si="77"/>
        <v>749.2</v>
      </c>
    </row>
    <row r="135" spans="1:14" s="141" customFormat="1" ht="39.6" x14ac:dyDescent="0.25">
      <c r="A135" s="130" t="s">
        <v>710</v>
      </c>
      <c r="B135" s="309" t="s">
        <v>220</v>
      </c>
      <c r="C135" s="310" t="s">
        <v>24</v>
      </c>
      <c r="D135" s="324">
        <v>40.950000000000003</v>
      </c>
      <c r="E135" s="324">
        <v>169.18</v>
      </c>
      <c r="F135" s="324">
        <v>6927.92</v>
      </c>
      <c r="G135" s="124">
        <v>0</v>
      </c>
      <c r="H135" s="124">
        <v>0</v>
      </c>
      <c r="I135" s="121">
        <f t="shared" si="72"/>
        <v>0</v>
      </c>
      <c r="J135" s="124">
        <f t="shared" si="74"/>
        <v>0</v>
      </c>
      <c r="K135" s="124">
        <f t="shared" si="75"/>
        <v>0</v>
      </c>
      <c r="L135" s="121">
        <f t="shared" si="76"/>
        <v>0</v>
      </c>
      <c r="M135" s="129">
        <f t="shared" si="73"/>
        <v>0</v>
      </c>
      <c r="N135" s="179">
        <f t="shared" si="77"/>
        <v>40.950000000000003</v>
      </c>
    </row>
    <row r="136" spans="1:14" s="141" customFormat="1" ht="26.4" x14ac:dyDescent="0.25">
      <c r="A136" s="130" t="s">
        <v>711</v>
      </c>
      <c r="B136" s="309" t="s">
        <v>222</v>
      </c>
      <c r="C136" s="310" t="s">
        <v>24</v>
      </c>
      <c r="D136" s="324">
        <v>5.4</v>
      </c>
      <c r="E136" s="324">
        <v>116.99</v>
      </c>
      <c r="F136" s="324">
        <v>631.74</v>
      </c>
      <c r="G136" s="124">
        <v>0</v>
      </c>
      <c r="H136" s="124">
        <v>0</v>
      </c>
      <c r="I136" s="121">
        <f t="shared" si="72"/>
        <v>0</v>
      </c>
      <c r="J136" s="124">
        <f t="shared" si="74"/>
        <v>0</v>
      </c>
      <c r="K136" s="124">
        <f t="shared" si="75"/>
        <v>0</v>
      </c>
      <c r="L136" s="121">
        <f t="shared" si="76"/>
        <v>0</v>
      </c>
      <c r="M136" s="129">
        <f t="shared" si="73"/>
        <v>0</v>
      </c>
      <c r="N136" s="179">
        <f t="shared" si="77"/>
        <v>5.4</v>
      </c>
    </row>
    <row r="137" spans="1:14" s="141" customFormat="1" x14ac:dyDescent="0.25">
      <c r="A137" s="130" t="s">
        <v>712</v>
      </c>
      <c r="B137" s="309" t="s">
        <v>224</v>
      </c>
      <c r="C137" s="310" t="s">
        <v>116</v>
      </c>
      <c r="D137" s="324">
        <v>18.5</v>
      </c>
      <c r="E137" s="324">
        <v>73.989999999999995</v>
      </c>
      <c r="F137" s="324">
        <v>1368.81</v>
      </c>
      <c r="G137" s="124">
        <v>0</v>
      </c>
      <c r="H137" s="124">
        <v>0</v>
      </c>
      <c r="I137" s="121">
        <f t="shared" si="72"/>
        <v>0</v>
      </c>
      <c r="J137" s="124">
        <f t="shared" si="74"/>
        <v>0</v>
      </c>
      <c r="K137" s="124">
        <f t="shared" si="75"/>
        <v>0</v>
      </c>
      <c r="L137" s="121">
        <f t="shared" si="76"/>
        <v>0</v>
      </c>
      <c r="M137" s="129">
        <f t="shared" si="73"/>
        <v>0</v>
      </c>
      <c r="N137" s="179">
        <f t="shared" si="77"/>
        <v>18.5</v>
      </c>
    </row>
    <row r="138" spans="1:14" ht="35.25" customHeight="1" x14ac:dyDescent="0.25">
      <c r="A138" s="133" t="s">
        <v>934</v>
      </c>
      <c r="B138" s="317" t="s">
        <v>226</v>
      </c>
      <c r="C138" s="134"/>
      <c r="D138" s="335"/>
      <c r="E138" s="335"/>
      <c r="F138" s="342">
        <f>SUM(F139:F142)</f>
        <v>25497.220000000005</v>
      </c>
      <c r="G138" s="136"/>
      <c r="H138" s="136"/>
      <c r="I138" s="136"/>
      <c r="J138" s="137">
        <f>SUM(J139:J142)</f>
        <v>0</v>
      </c>
      <c r="K138" s="137">
        <f>SUM(K139:K142)</f>
        <v>0</v>
      </c>
      <c r="L138" s="138"/>
      <c r="M138" s="139">
        <f>L138/F138</f>
        <v>0</v>
      </c>
    </row>
    <row r="139" spans="1:14" s="141" customFormat="1" ht="39.6" x14ac:dyDescent="0.25">
      <c r="A139" s="130" t="s">
        <v>713</v>
      </c>
      <c r="B139" s="309" t="s">
        <v>228</v>
      </c>
      <c r="C139" s="310" t="s">
        <v>50</v>
      </c>
      <c r="D139" s="324">
        <v>25.08</v>
      </c>
      <c r="E139" s="324">
        <v>656.85</v>
      </c>
      <c r="F139" s="324">
        <v>16473.79</v>
      </c>
      <c r="G139" s="124">
        <v>0</v>
      </c>
      <c r="H139" s="124">
        <v>0</v>
      </c>
      <c r="I139" s="121">
        <f>G139+H139</f>
        <v>0</v>
      </c>
      <c r="J139" s="124">
        <f>TRUNC(E139*G139,2)</f>
        <v>0</v>
      </c>
      <c r="K139" s="124">
        <f>TRUNC(E139*H139,2)</f>
        <v>0</v>
      </c>
      <c r="L139" s="121">
        <f>J139+K139</f>
        <v>0</v>
      </c>
      <c r="M139" s="129">
        <f t="shared" ref="M139:M142" si="78">L139/F139</f>
        <v>0</v>
      </c>
      <c r="N139" s="179">
        <f t="shared" ref="N139:N142" si="79">D139-I139</f>
        <v>25.08</v>
      </c>
    </row>
    <row r="140" spans="1:14" s="141" customFormat="1" ht="39.6" x14ac:dyDescent="0.25">
      <c r="A140" s="130" t="s">
        <v>714</v>
      </c>
      <c r="B140" s="309" t="s">
        <v>230</v>
      </c>
      <c r="C140" s="310" t="s">
        <v>50</v>
      </c>
      <c r="D140" s="324">
        <v>11.98</v>
      </c>
      <c r="E140" s="324">
        <v>373.01</v>
      </c>
      <c r="F140" s="324">
        <v>4468.6499999999996</v>
      </c>
      <c r="G140" s="124">
        <v>0</v>
      </c>
      <c r="H140" s="124">
        <v>0</v>
      </c>
      <c r="I140" s="121">
        <f>G140+H140</f>
        <v>0</v>
      </c>
      <c r="J140" s="124">
        <f>TRUNC(E140*G140,2)</f>
        <v>0</v>
      </c>
      <c r="K140" s="124">
        <f>TRUNC(E140*H140,2)</f>
        <v>0</v>
      </c>
      <c r="L140" s="121">
        <f>J140+K140</f>
        <v>0</v>
      </c>
      <c r="M140" s="129">
        <f t="shared" si="78"/>
        <v>0</v>
      </c>
      <c r="N140" s="179">
        <f t="shared" si="79"/>
        <v>11.98</v>
      </c>
    </row>
    <row r="141" spans="1:14" s="141" customFormat="1" ht="39.6" x14ac:dyDescent="0.25">
      <c r="A141" s="130" t="s">
        <v>715</v>
      </c>
      <c r="B141" s="309" t="s">
        <v>232</v>
      </c>
      <c r="C141" s="310" t="s">
        <v>116</v>
      </c>
      <c r="D141" s="324">
        <v>27.3</v>
      </c>
      <c r="E141" s="324">
        <v>28.04</v>
      </c>
      <c r="F141" s="324">
        <v>765.49</v>
      </c>
      <c r="G141" s="124">
        <v>0</v>
      </c>
      <c r="H141" s="124">
        <v>0</v>
      </c>
      <c r="I141" s="121">
        <f>G141+H141</f>
        <v>0</v>
      </c>
      <c r="J141" s="124">
        <f>TRUNC(E141*G141,2)</f>
        <v>0</v>
      </c>
      <c r="K141" s="124">
        <f>TRUNC(E141*H141,2)</f>
        <v>0</v>
      </c>
      <c r="L141" s="121">
        <f>J141+K141</f>
        <v>0</v>
      </c>
      <c r="M141" s="129">
        <f t="shared" si="78"/>
        <v>0</v>
      </c>
      <c r="N141" s="215">
        <f>D141-I141</f>
        <v>27.3</v>
      </c>
    </row>
    <row r="142" spans="1:14" s="141" customFormat="1" ht="39.6" x14ac:dyDescent="0.25">
      <c r="A142" s="130" t="s">
        <v>716</v>
      </c>
      <c r="B142" s="309" t="s">
        <v>234</v>
      </c>
      <c r="C142" s="310" t="s">
        <v>50</v>
      </c>
      <c r="D142" s="324">
        <v>11.28</v>
      </c>
      <c r="E142" s="324">
        <v>335.93</v>
      </c>
      <c r="F142" s="324">
        <v>3789.29</v>
      </c>
      <c r="G142" s="124">
        <v>0</v>
      </c>
      <c r="H142" s="124">
        <v>0</v>
      </c>
      <c r="I142" s="121">
        <f>G142+H142</f>
        <v>0</v>
      </c>
      <c r="J142" s="124">
        <f>TRUNC(E142*G142,2)</f>
        <v>0</v>
      </c>
      <c r="K142" s="124">
        <f>TRUNC(E142*H142,2)</f>
        <v>0</v>
      </c>
      <c r="L142" s="121">
        <f>J142+K142</f>
        <v>0</v>
      </c>
      <c r="M142" s="129">
        <f t="shared" si="78"/>
        <v>0</v>
      </c>
      <c r="N142" s="179">
        <f t="shared" si="79"/>
        <v>11.28</v>
      </c>
    </row>
    <row r="143" spans="1:14" ht="33" customHeight="1" x14ac:dyDescent="0.25">
      <c r="A143" s="131">
        <v>11</v>
      </c>
      <c r="B143" s="313" t="s">
        <v>236</v>
      </c>
      <c r="C143" s="132"/>
      <c r="D143" s="333"/>
      <c r="E143" s="333"/>
      <c r="F143" s="334">
        <f>SUM(F144:F150)</f>
        <v>45376.000000000007</v>
      </c>
      <c r="G143" s="128"/>
      <c r="H143" s="128"/>
      <c r="I143" s="128"/>
      <c r="J143" s="117">
        <f>SUM(J144:J150)</f>
        <v>0</v>
      </c>
      <c r="K143" s="117">
        <f>SUM(K144:K150)</f>
        <v>0</v>
      </c>
      <c r="L143" s="117"/>
      <c r="M143" s="314">
        <f>L143/F143</f>
        <v>0</v>
      </c>
    </row>
    <row r="144" spans="1:14" s="141" customFormat="1" ht="26.4" x14ac:dyDescent="0.25">
      <c r="A144" s="130" t="s">
        <v>717</v>
      </c>
      <c r="B144" s="309" t="s">
        <v>238</v>
      </c>
      <c r="C144" s="310" t="s">
        <v>116</v>
      </c>
      <c r="D144" s="324">
        <v>432.55</v>
      </c>
      <c r="E144" s="324">
        <v>26.45</v>
      </c>
      <c r="F144" s="324">
        <v>11440.94</v>
      </c>
      <c r="G144" s="124">
        <v>0</v>
      </c>
      <c r="H144" s="124">
        <v>0</v>
      </c>
      <c r="I144" s="121">
        <f t="shared" ref="I144:I148" si="80">G144+H144</f>
        <v>0</v>
      </c>
      <c r="J144" s="124">
        <f t="shared" ref="J144:J148" si="81">TRUNC(E144*G144,2)</f>
        <v>0</v>
      </c>
      <c r="K144" s="124">
        <f t="shared" ref="K144:K148" si="82">TRUNC(E144*H144,2)</f>
        <v>0</v>
      </c>
      <c r="L144" s="121">
        <f t="shared" ref="L144:L148" si="83">J144+K144</f>
        <v>0</v>
      </c>
      <c r="M144" s="129">
        <f t="shared" ref="M144:M148" si="84">L144/F144</f>
        <v>0</v>
      </c>
      <c r="N144" s="179">
        <f t="shared" ref="N144:N150" si="85">D144-I144</f>
        <v>432.55</v>
      </c>
    </row>
    <row r="145" spans="1:14" s="141" customFormat="1" ht="26.4" x14ac:dyDescent="0.25">
      <c r="A145" s="130" t="s">
        <v>718</v>
      </c>
      <c r="B145" s="309" t="s">
        <v>238</v>
      </c>
      <c r="C145" s="310" t="s">
        <v>116</v>
      </c>
      <c r="D145" s="324">
        <v>579.57000000000005</v>
      </c>
      <c r="E145" s="324">
        <v>26.45</v>
      </c>
      <c r="F145" s="324">
        <v>15329.62</v>
      </c>
      <c r="G145" s="124">
        <v>0</v>
      </c>
      <c r="H145" s="124">
        <v>0</v>
      </c>
      <c r="I145" s="121">
        <f t="shared" si="80"/>
        <v>0</v>
      </c>
      <c r="J145" s="124">
        <f t="shared" si="81"/>
        <v>0</v>
      </c>
      <c r="K145" s="124">
        <f t="shared" si="82"/>
        <v>0</v>
      </c>
      <c r="L145" s="121">
        <f t="shared" si="83"/>
        <v>0</v>
      </c>
      <c r="M145" s="129">
        <f t="shared" si="84"/>
        <v>0</v>
      </c>
      <c r="N145" s="179">
        <f t="shared" si="85"/>
        <v>579.57000000000005</v>
      </c>
    </row>
    <row r="146" spans="1:14" s="141" customFormat="1" ht="26.4" x14ac:dyDescent="0.25">
      <c r="A146" s="130" t="s">
        <v>719</v>
      </c>
      <c r="B146" s="309" t="s">
        <v>240</v>
      </c>
      <c r="C146" s="310" t="s">
        <v>24</v>
      </c>
      <c r="D146" s="324">
        <v>1307.77</v>
      </c>
      <c r="E146" s="324">
        <v>8.49</v>
      </c>
      <c r="F146" s="324">
        <v>11102.96</v>
      </c>
      <c r="G146" s="124">
        <v>0</v>
      </c>
      <c r="H146" s="124">
        <v>0</v>
      </c>
      <c r="I146" s="121">
        <f t="shared" si="80"/>
        <v>0</v>
      </c>
      <c r="J146" s="124">
        <f t="shared" si="81"/>
        <v>0</v>
      </c>
      <c r="K146" s="124">
        <f t="shared" si="82"/>
        <v>0</v>
      </c>
      <c r="L146" s="121">
        <f t="shared" si="83"/>
        <v>0</v>
      </c>
      <c r="M146" s="129">
        <f t="shared" si="84"/>
        <v>0</v>
      </c>
      <c r="N146" s="179">
        <f t="shared" si="85"/>
        <v>1307.77</v>
      </c>
    </row>
    <row r="147" spans="1:14" s="141" customFormat="1" ht="26.4" x14ac:dyDescent="0.25">
      <c r="A147" s="130" t="s">
        <v>720</v>
      </c>
      <c r="B147" s="309" t="s">
        <v>242</v>
      </c>
      <c r="C147" s="310" t="s">
        <v>24</v>
      </c>
      <c r="D147" s="324">
        <v>569.57000000000005</v>
      </c>
      <c r="E147" s="324">
        <v>10.37</v>
      </c>
      <c r="F147" s="324">
        <v>5906.44</v>
      </c>
      <c r="G147" s="124">
        <v>0</v>
      </c>
      <c r="H147" s="124">
        <v>0</v>
      </c>
      <c r="I147" s="121">
        <f t="shared" si="80"/>
        <v>0</v>
      </c>
      <c r="J147" s="124">
        <f t="shared" si="81"/>
        <v>0</v>
      </c>
      <c r="K147" s="124">
        <f t="shared" si="82"/>
        <v>0</v>
      </c>
      <c r="L147" s="121">
        <f t="shared" si="83"/>
        <v>0</v>
      </c>
      <c r="M147" s="129">
        <f t="shared" si="84"/>
        <v>0</v>
      </c>
      <c r="N147" s="179">
        <f t="shared" si="85"/>
        <v>569.57000000000005</v>
      </c>
    </row>
    <row r="148" spans="1:14" s="141" customFormat="1" ht="26.4" x14ac:dyDescent="0.25">
      <c r="A148" s="130" t="s">
        <v>721</v>
      </c>
      <c r="B148" s="309" t="s">
        <v>244</v>
      </c>
      <c r="C148" s="310" t="s">
        <v>24</v>
      </c>
      <c r="D148" s="324">
        <v>25.72</v>
      </c>
      <c r="E148" s="324">
        <v>13.23</v>
      </c>
      <c r="F148" s="324">
        <v>340.27</v>
      </c>
      <c r="G148" s="124">
        <v>0</v>
      </c>
      <c r="H148" s="124">
        <v>0</v>
      </c>
      <c r="I148" s="121">
        <f t="shared" si="80"/>
        <v>0</v>
      </c>
      <c r="J148" s="124">
        <f t="shared" si="81"/>
        <v>0</v>
      </c>
      <c r="K148" s="124">
        <f t="shared" si="82"/>
        <v>0</v>
      </c>
      <c r="L148" s="121">
        <f t="shared" si="83"/>
        <v>0</v>
      </c>
      <c r="M148" s="129">
        <f t="shared" si="84"/>
        <v>0</v>
      </c>
      <c r="N148" s="179">
        <f t="shared" si="85"/>
        <v>25.72</v>
      </c>
    </row>
    <row r="149" spans="1:14" s="141" customFormat="1" ht="52.8" x14ac:dyDescent="0.25">
      <c r="A149" s="130" t="s">
        <v>722</v>
      </c>
      <c r="B149" s="309" t="s">
        <v>246</v>
      </c>
      <c r="C149" s="310" t="s">
        <v>24</v>
      </c>
      <c r="D149" s="324">
        <v>21.6</v>
      </c>
      <c r="E149" s="324">
        <v>19.82</v>
      </c>
      <c r="F149" s="324">
        <v>428.11</v>
      </c>
      <c r="G149" s="124">
        <v>0</v>
      </c>
      <c r="H149" s="124">
        <v>0</v>
      </c>
      <c r="I149" s="121">
        <f>G149+H149</f>
        <v>0</v>
      </c>
      <c r="J149" s="124">
        <f>TRUNC(E149*G149,2)</f>
        <v>0</v>
      </c>
      <c r="K149" s="124">
        <f>TRUNC(E149*H149,2)</f>
        <v>0</v>
      </c>
      <c r="L149" s="121">
        <f>J149+K149</f>
        <v>0</v>
      </c>
      <c r="M149" s="129">
        <f>L149/F149</f>
        <v>0</v>
      </c>
      <c r="N149" s="179">
        <f t="shared" si="85"/>
        <v>21.6</v>
      </c>
    </row>
    <row r="150" spans="1:14" s="141" customFormat="1" ht="26.4" x14ac:dyDescent="0.25">
      <c r="A150" s="130" t="s">
        <v>723</v>
      </c>
      <c r="B150" s="309" t="s">
        <v>244</v>
      </c>
      <c r="C150" s="310" t="s">
        <v>24</v>
      </c>
      <c r="D150" s="324">
        <v>62.56</v>
      </c>
      <c r="E150" s="324">
        <v>13.23</v>
      </c>
      <c r="F150" s="324">
        <v>827.66</v>
      </c>
      <c r="G150" s="124">
        <v>0</v>
      </c>
      <c r="H150" s="124">
        <v>0</v>
      </c>
      <c r="I150" s="121">
        <f>G150+H150</f>
        <v>0</v>
      </c>
      <c r="J150" s="124">
        <f>TRUNC(E150*G150,2)</f>
        <v>0</v>
      </c>
      <c r="K150" s="124">
        <f>TRUNC(E150*H150,2)</f>
        <v>0</v>
      </c>
      <c r="L150" s="121">
        <f>J150+K150</f>
        <v>0</v>
      </c>
      <c r="M150" s="129">
        <f>L150/F150</f>
        <v>0</v>
      </c>
      <c r="N150" s="179">
        <f t="shared" si="85"/>
        <v>62.56</v>
      </c>
    </row>
    <row r="151" spans="1:14" ht="24.75" customHeight="1" x14ac:dyDescent="0.25">
      <c r="A151" s="131">
        <v>12</v>
      </c>
      <c r="B151" s="313" t="s">
        <v>248</v>
      </c>
      <c r="C151" s="132"/>
      <c r="D151" s="333"/>
      <c r="E151" s="333"/>
      <c r="F151" s="334">
        <f>SUM(F152:F178)</f>
        <v>33522.229999999996</v>
      </c>
      <c r="G151" s="128"/>
      <c r="H151" s="128"/>
      <c r="I151" s="128"/>
      <c r="J151" s="117">
        <f>SUM(J152:J178)</f>
        <v>0</v>
      </c>
      <c r="K151" s="117">
        <f>SUM(K152:K178)</f>
        <v>0</v>
      </c>
      <c r="L151" s="117"/>
      <c r="M151" s="314">
        <f>L151/F151</f>
        <v>0</v>
      </c>
    </row>
    <row r="152" spans="1:14" s="141" customFormat="1" ht="39.6" x14ac:dyDescent="0.25">
      <c r="A152" s="130" t="s">
        <v>724</v>
      </c>
      <c r="B152" s="309" t="s">
        <v>250</v>
      </c>
      <c r="C152" s="310" t="s">
        <v>116</v>
      </c>
      <c r="D152" s="324">
        <v>23</v>
      </c>
      <c r="E152" s="324">
        <v>9.3000000000000007</v>
      </c>
      <c r="F152" s="324">
        <v>213.9</v>
      </c>
      <c r="G152" s="124">
        <v>0</v>
      </c>
      <c r="H152" s="124">
        <v>0</v>
      </c>
      <c r="I152" s="121">
        <f t="shared" ref="I152:I197" si="86">G152+H152</f>
        <v>0</v>
      </c>
      <c r="J152" s="124">
        <f t="shared" ref="J152:J197" si="87">TRUNC(E152*G152,2)</f>
        <v>0</v>
      </c>
      <c r="K152" s="124">
        <f t="shared" ref="K152:K197" si="88">TRUNC(E152*H152,2)</f>
        <v>0</v>
      </c>
      <c r="L152" s="121">
        <f t="shared" ref="L152:L197" si="89">J152+K152</f>
        <v>0</v>
      </c>
      <c r="M152" s="129">
        <f t="shared" ref="M152:M215" si="90">L152/F152</f>
        <v>0</v>
      </c>
      <c r="N152" s="179">
        <f t="shared" ref="N152:N178" si="91">D152-I152</f>
        <v>23</v>
      </c>
    </row>
    <row r="153" spans="1:14" s="141" customFormat="1" ht="26.4" x14ac:dyDescent="0.25">
      <c r="A153" s="130" t="s">
        <v>725</v>
      </c>
      <c r="B153" s="309" t="s">
        <v>252</v>
      </c>
      <c r="C153" s="310" t="s">
        <v>116</v>
      </c>
      <c r="D153" s="324">
        <v>8</v>
      </c>
      <c r="E153" s="324">
        <v>5.16</v>
      </c>
      <c r="F153" s="324">
        <v>41.28</v>
      </c>
      <c r="G153" s="124">
        <v>0</v>
      </c>
      <c r="H153" s="124">
        <v>0</v>
      </c>
      <c r="I153" s="121">
        <f t="shared" si="86"/>
        <v>0</v>
      </c>
      <c r="J153" s="124">
        <f t="shared" si="87"/>
        <v>0</v>
      </c>
      <c r="K153" s="124">
        <f t="shared" si="88"/>
        <v>0</v>
      </c>
      <c r="L153" s="121">
        <f t="shared" si="89"/>
        <v>0</v>
      </c>
      <c r="M153" s="129">
        <f t="shared" si="90"/>
        <v>0</v>
      </c>
      <c r="N153" s="179">
        <f t="shared" si="91"/>
        <v>8</v>
      </c>
    </row>
    <row r="154" spans="1:14" s="141" customFormat="1" ht="26.4" x14ac:dyDescent="0.25">
      <c r="A154" s="130" t="s">
        <v>726</v>
      </c>
      <c r="B154" s="309" t="s">
        <v>254</v>
      </c>
      <c r="C154" s="310" t="s">
        <v>116</v>
      </c>
      <c r="D154" s="324">
        <v>3</v>
      </c>
      <c r="E154" s="324">
        <v>10.43</v>
      </c>
      <c r="F154" s="324">
        <v>31.29</v>
      </c>
      <c r="G154" s="124">
        <v>0</v>
      </c>
      <c r="H154" s="124">
        <v>0</v>
      </c>
      <c r="I154" s="121">
        <f t="shared" si="86"/>
        <v>0</v>
      </c>
      <c r="J154" s="124">
        <f t="shared" si="87"/>
        <v>0</v>
      </c>
      <c r="K154" s="124">
        <f t="shared" si="88"/>
        <v>0</v>
      </c>
      <c r="L154" s="121">
        <f t="shared" si="89"/>
        <v>0</v>
      </c>
      <c r="M154" s="129">
        <f t="shared" si="90"/>
        <v>0</v>
      </c>
      <c r="N154" s="179">
        <f t="shared" si="91"/>
        <v>3</v>
      </c>
    </row>
    <row r="155" spans="1:14" s="141" customFormat="1" ht="26.4" x14ac:dyDescent="0.25">
      <c r="A155" s="130" t="s">
        <v>727</v>
      </c>
      <c r="B155" s="309" t="s">
        <v>256</v>
      </c>
      <c r="C155" s="310" t="s">
        <v>116</v>
      </c>
      <c r="D155" s="324">
        <v>11</v>
      </c>
      <c r="E155" s="324">
        <v>16.059999999999999</v>
      </c>
      <c r="F155" s="324">
        <v>176.66</v>
      </c>
      <c r="G155" s="124">
        <v>0</v>
      </c>
      <c r="H155" s="124">
        <v>0</v>
      </c>
      <c r="I155" s="121">
        <f t="shared" si="86"/>
        <v>0</v>
      </c>
      <c r="J155" s="124">
        <f t="shared" si="87"/>
        <v>0</v>
      </c>
      <c r="K155" s="124">
        <f t="shared" si="88"/>
        <v>0</v>
      </c>
      <c r="L155" s="121">
        <f t="shared" si="89"/>
        <v>0</v>
      </c>
      <c r="M155" s="129">
        <f t="shared" si="90"/>
        <v>0</v>
      </c>
      <c r="N155" s="179">
        <f t="shared" si="91"/>
        <v>11</v>
      </c>
    </row>
    <row r="156" spans="1:14" s="141" customFormat="1" ht="26.4" x14ac:dyDescent="0.25">
      <c r="A156" s="130" t="s">
        <v>728</v>
      </c>
      <c r="B156" s="309" t="s">
        <v>258</v>
      </c>
      <c r="C156" s="310" t="s">
        <v>116</v>
      </c>
      <c r="D156" s="325">
        <v>4</v>
      </c>
      <c r="E156" s="325">
        <v>17.75</v>
      </c>
      <c r="F156" s="325">
        <v>71</v>
      </c>
      <c r="G156" s="124">
        <v>0</v>
      </c>
      <c r="H156" s="124">
        <v>0</v>
      </c>
      <c r="I156" s="121">
        <f t="shared" si="86"/>
        <v>0</v>
      </c>
      <c r="J156" s="124">
        <f t="shared" si="87"/>
        <v>0</v>
      </c>
      <c r="K156" s="124">
        <f t="shared" si="88"/>
        <v>0</v>
      </c>
      <c r="L156" s="121">
        <f t="shared" si="89"/>
        <v>0</v>
      </c>
      <c r="M156" s="129">
        <f t="shared" si="90"/>
        <v>0</v>
      </c>
      <c r="N156" s="179">
        <f t="shared" si="91"/>
        <v>4</v>
      </c>
    </row>
    <row r="157" spans="1:14" s="141" customFormat="1" ht="26.4" x14ac:dyDescent="0.25">
      <c r="A157" s="130" t="s">
        <v>729</v>
      </c>
      <c r="B157" s="309" t="s">
        <v>260</v>
      </c>
      <c r="C157" s="310" t="s">
        <v>116</v>
      </c>
      <c r="D157" s="326">
        <v>69</v>
      </c>
      <c r="E157" s="326">
        <v>28.59</v>
      </c>
      <c r="F157" s="326">
        <v>1972.71</v>
      </c>
      <c r="G157" s="124">
        <v>0</v>
      </c>
      <c r="H157" s="124">
        <v>0</v>
      </c>
      <c r="I157" s="121">
        <f t="shared" si="86"/>
        <v>0</v>
      </c>
      <c r="J157" s="124">
        <f t="shared" si="87"/>
        <v>0</v>
      </c>
      <c r="K157" s="124">
        <f t="shared" si="88"/>
        <v>0</v>
      </c>
      <c r="L157" s="121">
        <f t="shared" si="89"/>
        <v>0</v>
      </c>
      <c r="M157" s="129">
        <f t="shared" si="90"/>
        <v>0</v>
      </c>
      <c r="N157" s="179">
        <f t="shared" si="91"/>
        <v>69</v>
      </c>
    </row>
    <row r="158" spans="1:14" s="141" customFormat="1" ht="39.6" x14ac:dyDescent="0.25">
      <c r="A158" s="130" t="s">
        <v>730</v>
      </c>
      <c r="B158" s="309" t="s">
        <v>262</v>
      </c>
      <c r="C158" s="310" t="s">
        <v>31</v>
      </c>
      <c r="D158" s="324">
        <v>14</v>
      </c>
      <c r="E158" s="324">
        <v>5.73</v>
      </c>
      <c r="F158" s="324">
        <v>80.22</v>
      </c>
      <c r="G158" s="124">
        <v>0</v>
      </c>
      <c r="H158" s="124">
        <v>0</v>
      </c>
      <c r="I158" s="121">
        <f t="shared" si="86"/>
        <v>0</v>
      </c>
      <c r="J158" s="124">
        <f t="shared" si="87"/>
        <v>0</v>
      </c>
      <c r="K158" s="124">
        <f t="shared" si="88"/>
        <v>0</v>
      </c>
      <c r="L158" s="121">
        <f t="shared" si="89"/>
        <v>0</v>
      </c>
      <c r="M158" s="129">
        <f t="shared" si="90"/>
        <v>0</v>
      </c>
      <c r="N158" s="179">
        <f t="shared" si="91"/>
        <v>14</v>
      </c>
    </row>
    <row r="159" spans="1:14" s="141" customFormat="1" ht="39.6" x14ac:dyDescent="0.25">
      <c r="A159" s="130" t="s">
        <v>731</v>
      </c>
      <c r="B159" s="309" t="s">
        <v>264</v>
      </c>
      <c r="C159" s="310" t="s">
        <v>31</v>
      </c>
      <c r="D159" s="324">
        <v>15</v>
      </c>
      <c r="E159" s="324">
        <v>4.2300000000000004</v>
      </c>
      <c r="F159" s="324">
        <v>63.45</v>
      </c>
      <c r="G159" s="124">
        <v>0</v>
      </c>
      <c r="H159" s="124">
        <v>0</v>
      </c>
      <c r="I159" s="121">
        <f t="shared" si="86"/>
        <v>0</v>
      </c>
      <c r="J159" s="124">
        <f t="shared" si="87"/>
        <v>0</v>
      </c>
      <c r="K159" s="124">
        <f t="shared" si="88"/>
        <v>0</v>
      </c>
      <c r="L159" s="121">
        <f t="shared" si="89"/>
        <v>0</v>
      </c>
      <c r="M159" s="129">
        <f t="shared" si="90"/>
        <v>0</v>
      </c>
      <c r="N159" s="179">
        <f t="shared" si="91"/>
        <v>15</v>
      </c>
    </row>
    <row r="160" spans="1:14" s="141" customFormat="1" ht="39.6" x14ac:dyDescent="0.25">
      <c r="A160" s="130" t="s">
        <v>732</v>
      </c>
      <c r="B160" s="309" t="s">
        <v>266</v>
      </c>
      <c r="C160" s="310" t="s">
        <v>31</v>
      </c>
      <c r="D160" s="324">
        <v>42</v>
      </c>
      <c r="E160" s="324">
        <v>6.82</v>
      </c>
      <c r="F160" s="324">
        <v>286.44</v>
      </c>
      <c r="G160" s="124">
        <v>0</v>
      </c>
      <c r="H160" s="124">
        <v>0</v>
      </c>
      <c r="I160" s="121">
        <f t="shared" si="86"/>
        <v>0</v>
      </c>
      <c r="J160" s="124">
        <f t="shared" si="87"/>
        <v>0</v>
      </c>
      <c r="K160" s="124">
        <f t="shared" si="88"/>
        <v>0</v>
      </c>
      <c r="L160" s="121">
        <f t="shared" si="89"/>
        <v>0</v>
      </c>
      <c r="M160" s="129">
        <f t="shared" si="90"/>
        <v>0</v>
      </c>
      <c r="N160" s="179">
        <f t="shared" si="91"/>
        <v>42</v>
      </c>
    </row>
    <row r="161" spans="1:14" s="141" customFormat="1" ht="39.6" x14ac:dyDescent="0.25">
      <c r="A161" s="130" t="s">
        <v>733</v>
      </c>
      <c r="B161" s="309" t="s">
        <v>268</v>
      </c>
      <c r="C161" s="310" t="s">
        <v>31</v>
      </c>
      <c r="D161" s="324">
        <v>8</v>
      </c>
      <c r="E161" s="324">
        <v>11.36</v>
      </c>
      <c r="F161" s="324">
        <v>90.88</v>
      </c>
      <c r="G161" s="124">
        <v>0</v>
      </c>
      <c r="H161" s="124">
        <v>0</v>
      </c>
      <c r="I161" s="121">
        <f t="shared" si="86"/>
        <v>0</v>
      </c>
      <c r="J161" s="124">
        <f t="shared" si="87"/>
        <v>0</v>
      </c>
      <c r="K161" s="124">
        <f t="shared" si="88"/>
        <v>0</v>
      </c>
      <c r="L161" s="121">
        <f t="shared" si="89"/>
        <v>0</v>
      </c>
      <c r="M161" s="129">
        <f t="shared" si="90"/>
        <v>0</v>
      </c>
      <c r="N161" s="179">
        <f t="shared" si="91"/>
        <v>8</v>
      </c>
    </row>
    <row r="162" spans="1:14" s="141" customFormat="1" ht="39.6" x14ac:dyDescent="0.25">
      <c r="A162" s="130" t="s">
        <v>734</v>
      </c>
      <c r="B162" s="309" t="s">
        <v>270</v>
      </c>
      <c r="C162" s="310" t="s">
        <v>31</v>
      </c>
      <c r="D162" s="324">
        <v>2</v>
      </c>
      <c r="E162" s="324">
        <v>37.799999999999997</v>
      </c>
      <c r="F162" s="324">
        <v>75.599999999999994</v>
      </c>
      <c r="G162" s="124">
        <v>0</v>
      </c>
      <c r="H162" s="124">
        <v>0</v>
      </c>
      <c r="I162" s="121">
        <f t="shared" si="86"/>
        <v>0</v>
      </c>
      <c r="J162" s="124">
        <f t="shared" si="87"/>
        <v>0</v>
      </c>
      <c r="K162" s="124">
        <f t="shared" si="88"/>
        <v>0</v>
      </c>
      <c r="L162" s="121">
        <f t="shared" si="89"/>
        <v>0</v>
      </c>
      <c r="M162" s="129">
        <f t="shared" si="90"/>
        <v>0</v>
      </c>
      <c r="N162" s="179">
        <f t="shared" si="91"/>
        <v>2</v>
      </c>
    </row>
    <row r="163" spans="1:14" s="141" customFormat="1" ht="39.6" x14ac:dyDescent="0.25">
      <c r="A163" s="130" t="s">
        <v>735</v>
      </c>
      <c r="B163" s="309" t="s">
        <v>272</v>
      </c>
      <c r="C163" s="310" t="s">
        <v>31</v>
      </c>
      <c r="D163" s="324">
        <v>2</v>
      </c>
      <c r="E163" s="324">
        <v>12.29</v>
      </c>
      <c r="F163" s="324">
        <v>24.58</v>
      </c>
      <c r="G163" s="124">
        <v>0</v>
      </c>
      <c r="H163" s="124">
        <v>0</v>
      </c>
      <c r="I163" s="121">
        <f t="shared" si="86"/>
        <v>0</v>
      </c>
      <c r="J163" s="124">
        <f t="shared" si="87"/>
        <v>0</v>
      </c>
      <c r="K163" s="124">
        <f t="shared" si="88"/>
        <v>0</v>
      </c>
      <c r="L163" s="121">
        <f t="shared" si="89"/>
        <v>0</v>
      </c>
      <c r="M163" s="129">
        <f t="shared" si="90"/>
        <v>0</v>
      </c>
      <c r="N163" s="179">
        <f t="shared" si="91"/>
        <v>2</v>
      </c>
    </row>
    <row r="164" spans="1:14" s="141" customFormat="1" ht="39.6" x14ac:dyDescent="0.25">
      <c r="A164" s="130" t="s">
        <v>736</v>
      </c>
      <c r="B164" s="309" t="s">
        <v>274</v>
      </c>
      <c r="C164" s="310" t="s">
        <v>31</v>
      </c>
      <c r="D164" s="324">
        <v>1</v>
      </c>
      <c r="E164" s="324">
        <v>12.19</v>
      </c>
      <c r="F164" s="324">
        <v>12.19</v>
      </c>
      <c r="G164" s="124">
        <v>0</v>
      </c>
      <c r="H164" s="124">
        <v>0</v>
      </c>
      <c r="I164" s="121">
        <f t="shared" si="86"/>
        <v>0</v>
      </c>
      <c r="J164" s="124">
        <f t="shared" si="87"/>
        <v>0</v>
      </c>
      <c r="K164" s="124">
        <f t="shared" si="88"/>
        <v>0</v>
      </c>
      <c r="L164" s="121">
        <f t="shared" si="89"/>
        <v>0</v>
      </c>
      <c r="M164" s="129">
        <f t="shared" si="90"/>
        <v>0</v>
      </c>
      <c r="N164" s="179">
        <f t="shared" si="91"/>
        <v>1</v>
      </c>
    </row>
    <row r="165" spans="1:14" s="141" customFormat="1" ht="39.6" x14ac:dyDescent="0.25">
      <c r="A165" s="130" t="s">
        <v>737</v>
      </c>
      <c r="B165" s="309" t="s">
        <v>276</v>
      </c>
      <c r="C165" s="310" t="s">
        <v>31</v>
      </c>
      <c r="D165" s="324">
        <v>2</v>
      </c>
      <c r="E165" s="324">
        <v>26.79</v>
      </c>
      <c r="F165" s="324">
        <v>53.58</v>
      </c>
      <c r="G165" s="124">
        <v>0</v>
      </c>
      <c r="H165" s="124">
        <v>0</v>
      </c>
      <c r="I165" s="121">
        <f t="shared" si="86"/>
        <v>0</v>
      </c>
      <c r="J165" s="124">
        <f t="shared" si="87"/>
        <v>0</v>
      </c>
      <c r="K165" s="124">
        <f t="shared" si="88"/>
        <v>0</v>
      </c>
      <c r="L165" s="121">
        <f t="shared" si="89"/>
        <v>0</v>
      </c>
      <c r="M165" s="129">
        <f t="shared" si="90"/>
        <v>0</v>
      </c>
      <c r="N165" s="179">
        <f t="shared" si="91"/>
        <v>2</v>
      </c>
    </row>
    <row r="166" spans="1:14" s="141" customFormat="1" ht="39.6" x14ac:dyDescent="0.25">
      <c r="A166" s="130" t="s">
        <v>738</v>
      </c>
      <c r="B166" s="309" t="s">
        <v>278</v>
      </c>
      <c r="C166" s="310" t="s">
        <v>31</v>
      </c>
      <c r="D166" s="324">
        <v>5</v>
      </c>
      <c r="E166" s="324">
        <v>17.48</v>
      </c>
      <c r="F166" s="324">
        <v>87.4</v>
      </c>
      <c r="G166" s="124">
        <v>0</v>
      </c>
      <c r="H166" s="124">
        <v>0</v>
      </c>
      <c r="I166" s="121">
        <f t="shared" si="86"/>
        <v>0</v>
      </c>
      <c r="J166" s="124">
        <f t="shared" si="87"/>
        <v>0</v>
      </c>
      <c r="K166" s="124">
        <f t="shared" si="88"/>
        <v>0</v>
      </c>
      <c r="L166" s="121">
        <f t="shared" si="89"/>
        <v>0</v>
      </c>
      <c r="M166" s="129">
        <f t="shared" si="90"/>
        <v>0</v>
      </c>
      <c r="N166" s="179">
        <f t="shared" si="91"/>
        <v>5</v>
      </c>
    </row>
    <row r="167" spans="1:14" s="141" customFormat="1" ht="39.6" x14ac:dyDescent="0.25">
      <c r="A167" s="130" t="s">
        <v>739</v>
      </c>
      <c r="B167" s="309" t="s">
        <v>280</v>
      </c>
      <c r="C167" s="310" t="s">
        <v>31</v>
      </c>
      <c r="D167" s="324">
        <v>2</v>
      </c>
      <c r="E167" s="324">
        <v>55.65</v>
      </c>
      <c r="F167" s="324">
        <v>111.3</v>
      </c>
      <c r="G167" s="124">
        <v>0</v>
      </c>
      <c r="H167" s="124">
        <v>0</v>
      </c>
      <c r="I167" s="121">
        <f t="shared" si="86"/>
        <v>0</v>
      </c>
      <c r="J167" s="124">
        <f t="shared" si="87"/>
        <v>0</v>
      </c>
      <c r="K167" s="124">
        <f t="shared" si="88"/>
        <v>0</v>
      </c>
      <c r="L167" s="121">
        <f t="shared" si="89"/>
        <v>0</v>
      </c>
      <c r="M167" s="129">
        <f t="shared" si="90"/>
        <v>0</v>
      </c>
      <c r="N167" s="179">
        <f t="shared" si="91"/>
        <v>2</v>
      </c>
    </row>
    <row r="168" spans="1:14" s="141" customFormat="1" ht="39.6" x14ac:dyDescent="0.25">
      <c r="A168" s="130" t="s">
        <v>740</v>
      </c>
      <c r="B168" s="309" t="s">
        <v>282</v>
      </c>
      <c r="C168" s="310" t="s">
        <v>31</v>
      </c>
      <c r="D168" s="324">
        <v>6</v>
      </c>
      <c r="E168" s="324">
        <v>8.0299999999999994</v>
      </c>
      <c r="F168" s="324">
        <v>48.18</v>
      </c>
      <c r="G168" s="124">
        <v>0</v>
      </c>
      <c r="H168" s="124">
        <v>0</v>
      </c>
      <c r="I168" s="121">
        <f t="shared" si="86"/>
        <v>0</v>
      </c>
      <c r="J168" s="124">
        <f t="shared" si="87"/>
        <v>0</v>
      </c>
      <c r="K168" s="124">
        <f t="shared" si="88"/>
        <v>0</v>
      </c>
      <c r="L168" s="121">
        <f t="shared" si="89"/>
        <v>0</v>
      </c>
      <c r="M168" s="129">
        <f t="shared" si="90"/>
        <v>0</v>
      </c>
      <c r="N168" s="179">
        <f t="shared" si="91"/>
        <v>6</v>
      </c>
    </row>
    <row r="169" spans="1:14" s="141" customFormat="1" ht="26.4" x14ac:dyDescent="0.25">
      <c r="A169" s="130" t="s">
        <v>741</v>
      </c>
      <c r="B169" s="309" t="s">
        <v>284</v>
      </c>
      <c r="C169" s="310" t="s">
        <v>31</v>
      </c>
      <c r="D169" s="324">
        <v>4</v>
      </c>
      <c r="E169" s="324">
        <v>6.02</v>
      </c>
      <c r="F169" s="324">
        <v>24.08</v>
      </c>
      <c r="G169" s="124">
        <v>0</v>
      </c>
      <c r="H169" s="124">
        <v>0</v>
      </c>
      <c r="I169" s="121">
        <f t="shared" si="86"/>
        <v>0</v>
      </c>
      <c r="J169" s="124">
        <f t="shared" si="87"/>
        <v>0</v>
      </c>
      <c r="K169" s="124">
        <f t="shared" si="88"/>
        <v>0</v>
      </c>
      <c r="L169" s="121">
        <f t="shared" si="89"/>
        <v>0</v>
      </c>
      <c r="M169" s="129">
        <f t="shared" si="90"/>
        <v>0</v>
      </c>
      <c r="N169" s="179">
        <f t="shared" si="91"/>
        <v>4</v>
      </c>
    </row>
    <row r="170" spans="1:14" s="141" customFormat="1" ht="26.4" x14ac:dyDescent="0.25">
      <c r="A170" s="130" t="s">
        <v>742</v>
      </c>
      <c r="B170" s="309" t="s">
        <v>286</v>
      </c>
      <c r="C170" s="310" t="s">
        <v>31</v>
      </c>
      <c r="D170" s="324">
        <v>1</v>
      </c>
      <c r="E170" s="324">
        <v>16.760000000000002</v>
      </c>
      <c r="F170" s="324">
        <v>16.760000000000002</v>
      </c>
      <c r="G170" s="124">
        <v>0</v>
      </c>
      <c r="H170" s="124">
        <v>0</v>
      </c>
      <c r="I170" s="121">
        <f t="shared" si="86"/>
        <v>0</v>
      </c>
      <c r="J170" s="124">
        <f t="shared" si="87"/>
        <v>0</v>
      </c>
      <c r="K170" s="124">
        <f t="shared" si="88"/>
        <v>0</v>
      </c>
      <c r="L170" s="121">
        <f t="shared" si="89"/>
        <v>0</v>
      </c>
      <c r="M170" s="129">
        <f t="shared" si="90"/>
        <v>0</v>
      </c>
      <c r="N170" s="179">
        <f t="shared" si="91"/>
        <v>1</v>
      </c>
    </row>
    <row r="171" spans="1:14" s="141" customFormat="1" ht="26.4" x14ac:dyDescent="0.25">
      <c r="A171" s="130" t="s">
        <v>743</v>
      </c>
      <c r="B171" s="309" t="s">
        <v>288</v>
      </c>
      <c r="C171" s="310" t="s">
        <v>31</v>
      </c>
      <c r="D171" s="324">
        <v>8</v>
      </c>
      <c r="E171" s="324">
        <v>43.08</v>
      </c>
      <c r="F171" s="324">
        <v>344.64</v>
      </c>
      <c r="G171" s="124">
        <v>0</v>
      </c>
      <c r="H171" s="124">
        <v>0</v>
      </c>
      <c r="I171" s="121">
        <f t="shared" si="86"/>
        <v>0</v>
      </c>
      <c r="J171" s="124">
        <f t="shared" si="87"/>
        <v>0</v>
      </c>
      <c r="K171" s="124">
        <f t="shared" si="88"/>
        <v>0</v>
      </c>
      <c r="L171" s="121">
        <f t="shared" si="89"/>
        <v>0</v>
      </c>
      <c r="M171" s="129">
        <f t="shared" si="90"/>
        <v>0</v>
      </c>
      <c r="N171" s="179">
        <f t="shared" si="91"/>
        <v>8</v>
      </c>
    </row>
    <row r="172" spans="1:14" s="141" customFormat="1" ht="26.4" x14ac:dyDescent="0.25">
      <c r="A172" s="130" t="s">
        <v>744</v>
      </c>
      <c r="B172" s="309" t="s">
        <v>290</v>
      </c>
      <c r="C172" s="310" t="s">
        <v>31</v>
      </c>
      <c r="D172" s="324">
        <v>4</v>
      </c>
      <c r="E172" s="324">
        <v>61.74</v>
      </c>
      <c r="F172" s="324">
        <v>246.96</v>
      </c>
      <c r="G172" s="124">
        <v>0</v>
      </c>
      <c r="H172" s="124">
        <v>0</v>
      </c>
      <c r="I172" s="121">
        <f t="shared" si="86"/>
        <v>0</v>
      </c>
      <c r="J172" s="124">
        <f t="shared" si="87"/>
        <v>0</v>
      </c>
      <c r="K172" s="124">
        <f t="shared" si="88"/>
        <v>0</v>
      </c>
      <c r="L172" s="121">
        <f t="shared" si="89"/>
        <v>0</v>
      </c>
      <c r="M172" s="129">
        <f t="shared" si="90"/>
        <v>0</v>
      </c>
      <c r="N172" s="179">
        <f t="shared" si="91"/>
        <v>4</v>
      </c>
    </row>
    <row r="173" spans="1:14" s="141" customFormat="1" ht="26.4" x14ac:dyDescent="0.25">
      <c r="A173" s="130" t="s">
        <v>745</v>
      </c>
      <c r="B173" s="309" t="s">
        <v>292</v>
      </c>
      <c r="C173" s="310" t="s">
        <v>31</v>
      </c>
      <c r="D173" s="324">
        <v>2</v>
      </c>
      <c r="E173" s="324">
        <v>84.16</v>
      </c>
      <c r="F173" s="324">
        <v>168.32</v>
      </c>
      <c r="G173" s="124">
        <v>0</v>
      </c>
      <c r="H173" s="124">
        <v>0</v>
      </c>
      <c r="I173" s="121">
        <f t="shared" si="86"/>
        <v>0</v>
      </c>
      <c r="J173" s="124">
        <f t="shared" si="87"/>
        <v>0</v>
      </c>
      <c r="K173" s="124">
        <f t="shared" si="88"/>
        <v>0</v>
      </c>
      <c r="L173" s="121">
        <f t="shared" si="89"/>
        <v>0</v>
      </c>
      <c r="M173" s="129">
        <f t="shared" si="90"/>
        <v>0</v>
      </c>
      <c r="N173" s="179">
        <f t="shared" si="91"/>
        <v>2</v>
      </c>
    </row>
    <row r="174" spans="1:14" s="141" customFormat="1" ht="26.4" x14ac:dyDescent="0.25">
      <c r="A174" s="130" t="s">
        <v>746</v>
      </c>
      <c r="B174" s="309" t="s">
        <v>294</v>
      </c>
      <c r="C174" s="310" t="s">
        <v>31</v>
      </c>
      <c r="D174" s="324">
        <v>1</v>
      </c>
      <c r="E174" s="324">
        <v>106.56</v>
      </c>
      <c r="F174" s="324">
        <v>106.56</v>
      </c>
      <c r="G174" s="124">
        <v>0</v>
      </c>
      <c r="H174" s="124">
        <v>0</v>
      </c>
      <c r="I174" s="121">
        <f t="shared" si="86"/>
        <v>0</v>
      </c>
      <c r="J174" s="124">
        <f t="shared" si="87"/>
        <v>0</v>
      </c>
      <c r="K174" s="124">
        <f t="shared" si="88"/>
        <v>0</v>
      </c>
      <c r="L174" s="121">
        <f t="shared" si="89"/>
        <v>0</v>
      </c>
      <c r="M174" s="129">
        <f t="shared" si="90"/>
        <v>0</v>
      </c>
      <c r="N174" s="179">
        <f t="shared" si="91"/>
        <v>1</v>
      </c>
    </row>
    <row r="175" spans="1:14" s="141" customFormat="1" ht="26.4" x14ac:dyDescent="0.25">
      <c r="A175" s="130" t="s">
        <v>747</v>
      </c>
      <c r="B175" s="309" t="s">
        <v>296</v>
      </c>
      <c r="C175" s="310" t="s">
        <v>31</v>
      </c>
      <c r="D175" s="324">
        <v>1</v>
      </c>
      <c r="E175" s="324">
        <v>147.34</v>
      </c>
      <c r="F175" s="324">
        <v>147.34</v>
      </c>
      <c r="G175" s="124">
        <v>0</v>
      </c>
      <c r="H175" s="124">
        <v>0</v>
      </c>
      <c r="I175" s="121">
        <f t="shared" si="86"/>
        <v>0</v>
      </c>
      <c r="J175" s="124">
        <f t="shared" si="87"/>
        <v>0</v>
      </c>
      <c r="K175" s="124">
        <f t="shared" si="88"/>
        <v>0</v>
      </c>
      <c r="L175" s="121">
        <f t="shared" si="89"/>
        <v>0</v>
      </c>
      <c r="M175" s="129">
        <f t="shared" si="90"/>
        <v>0</v>
      </c>
      <c r="N175" s="179">
        <f t="shared" si="91"/>
        <v>1</v>
      </c>
    </row>
    <row r="176" spans="1:14" s="141" customFormat="1" ht="26.4" x14ac:dyDescent="0.25">
      <c r="A176" s="130" t="s">
        <v>748</v>
      </c>
      <c r="B176" s="309" t="s">
        <v>298</v>
      </c>
      <c r="C176" s="310" t="s">
        <v>31</v>
      </c>
      <c r="D176" s="324">
        <v>2</v>
      </c>
      <c r="E176" s="324">
        <v>295.66000000000003</v>
      </c>
      <c r="F176" s="324">
        <v>591.32000000000005</v>
      </c>
      <c r="G176" s="124">
        <v>0</v>
      </c>
      <c r="H176" s="124">
        <v>0</v>
      </c>
      <c r="I176" s="121">
        <f t="shared" si="86"/>
        <v>0</v>
      </c>
      <c r="J176" s="124">
        <f t="shared" si="87"/>
        <v>0</v>
      </c>
      <c r="K176" s="124">
        <f t="shared" si="88"/>
        <v>0</v>
      </c>
      <c r="L176" s="121">
        <f t="shared" si="89"/>
        <v>0</v>
      </c>
      <c r="M176" s="129">
        <f t="shared" si="90"/>
        <v>0</v>
      </c>
      <c r="N176" s="179">
        <f t="shared" si="91"/>
        <v>2</v>
      </c>
    </row>
    <row r="177" spans="1:14" s="141" customFormat="1" ht="39.6" x14ac:dyDescent="0.25">
      <c r="A177" s="130" t="s">
        <v>749</v>
      </c>
      <c r="B177" s="309" t="s">
        <v>300</v>
      </c>
      <c r="C177" s="310" t="s">
        <v>31</v>
      </c>
      <c r="D177" s="324">
        <v>1</v>
      </c>
      <c r="E177" s="324">
        <v>90.15</v>
      </c>
      <c r="F177" s="324">
        <v>90.15</v>
      </c>
      <c r="G177" s="124">
        <v>0</v>
      </c>
      <c r="H177" s="124">
        <v>0</v>
      </c>
      <c r="I177" s="121">
        <f t="shared" si="86"/>
        <v>0</v>
      </c>
      <c r="J177" s="124">
        <f t="shared" si="87"/>
        <v>0</v>
      </c>
      <c r="K177" s="124">
        <f t="shared" si="88"/>
        <v>0</v>
      </c>
      <c r="L177" s="121">
        <f t="shared" si="89"/>
        <v>0</v>
      </c>
      <c r="M177" s="129">
        <f t="shared" si="90"/>
        <v>0</v>
      </c>
      <c r="N177" s="179">
        <f t="shared" si="91"/>
        <v>1</v>
      </c>
    </row>
    <row r="178" spans="1:14" s="141" customFormat="1" ht="26.4" x14ac:dyDescent="0.25">
      <c r="A178" s="130" t="s">
        <v>750</v>
      </c>
      <c r="B178" s="309" t="s">
        <v>302</v>
      </c>
      <c r="C178" s="310" t="s">
        <v>31</v>
      </c>
      <c r="D178" s="324">
        <v>1</v>
      </c>
      <c r="E178" s="324">
        <v>28345.439999999999</v>
      </c>
      <c r="F178" s="327">
        <v>28345.439999999999</v>
      </c>
      <c r="G178" s="124">
        <v>0</v>
      </c>
      <c r="H178" s="124">
        <v>0</v>
      </c>
      <c r="I178" s="121">
        <f t="shared" si="86"/>
        <v>0</v>
      </c>
      <c r="J178" s="124">
        <f t="shared" si="87"/>
        <v>0</v>
      </c>
      <c r="K178" s="124">
        <f t="shared" si="88"/>
        <v>0</v>
      </c>
      <c r="L178" s="121">
        <f t="shared" si="89"/>
        <v>0</v>
      </c>
      <c r="M178" s="129">
        <f t="shared" si="90"/>
        <v>0</v>
      </c>
      <c r="N178" s="179">
        <f t="shared" si="91"/>
        <v>1</v>
      </c>
    </row>
    <row r="179" spans="1:14" s="141" customFormat="1" ht="27" customHeight="1" x14ac:dyDescent="0.25">
      <c r="A179" s="148">
        <v>13</v>
      </c>
      <c r="B179" s="319" t="s">
        <v>304</v>
      </c>
      <c r="C179" s="149"/>
      <c r="D179" s="345"/>
      <c r="E179" s="345"/>
      <c r="F179" s="346">
        <f>SUM(F180:F197)</f>
        <v>32744.34</v>
      </c>
      <c r="G179" s="150"/>
      <c r="H179" s="150"/>
      <c r="I179" s="150"/>
      <c r="J179" s="150">
        <f>SUM(J180:J197)</f>
        <v>0</v>
      </c>
      <c r="K179" s="146">
        <f>SUM(K180:K197)</f>
        <v>2956.55</v>
      </c>
      <c r="L179" s="146">
        <f>SUM(L180:L197)</f>
        <v>2956.55</v>
      </c>
      <c r="M179" s="314">
        <f>L179/F179</f>
        <v>9.0291940530790982E-2</v>
      </c>
    </row>
    <row r="180" spans="1:14" s="141" customFormat="1" ht="39.6" x14ac:dyDescent="0.25">
      <c r="A180" s="130" t="s">
        <v>751</v>
      </c>
      <c r="B180" s="309" t="s">
        <v>306</v>
      </c>
      <c r="C180" s="310" t="s">
        <v>116</v>
      </c>
      <c r="D180" s="324">
        <v>28</v>
      </c>
      <c r="E180" s="324">
        <v>17.96</v>
      </c>
      <c r="F180" s="324">
        <v>502.88</v>
      </c>
      <c r="G180" s="124">
        <v>0</v>
      </c>
      <c r="H180" s="124">
        <v>28</v>
      </c>
      <c r="I180" s="121">
        <f t="shared" si="86"/>
        <v>28</v>
      </c>
      <c r="J180" s="124">
        <f t="shared" si="87"/>
        <v>0</v>
      </c>
      <c r="K180" s="124">
        <f t="shared" si="88"/>
        <v>502.88</v>
      </c>
      <c r="L180" s="121">
        <f t="shared" si="89"/>
        <v>502.88</v>
      </c>
      <c r="M180" s="129">
        <f t="shared" si="90"/>
        <v>1</v>
      </c>
      <c r="N180" s="179">
        <f t="shared" ref="N180:N197" si="92">D180-I180</f>
        <v>0</v>
      </c>
    </row>
    <row r="181" spans="1:14" s="141" customFormat="1" ht="39.6" x14ac:dyDescent="0.25">
      <c r="A181" s="130" t="s">
        <v>752</v>
      </c>
      <c r="B181" s="309" t="s">
        <v>308</v>
      </c>
      <c r="C181" s="310" t="s">
        <v>116</v>
      </c>
      <c r="D181" s="324">
        <v>25</v>
      </c>
      <c r="E181" s="324">
        <v>23.18</v>
      </c>
      <c r="F181" s="324">
        <v>579.5</v>
      </c>
      <c r="G181" s="124">
        <v>0</v>
      </c>
      <c r="H181" s="124">
        <v>10</v>
      </c>
      <c r="I181" s="121">
        <f t="shared" si="86"/>
        <v>10</v>
      </c>
      <c r="J181" s="124">
        <f t="shared" si="87"/>
        <v>0</v>
      </c>
      <c r="K181" s="124">
        <f t="shared" si="88"/>
        <v>231.8</v>
      </c>
      <c r="L181" s="121">
        <f t="shared" si="89"/>
        <v>231.8</v>
      </c>
      <c r="M181" s="129">
        <f t="shared" si="90"/>
        <v>0.4</v>
      </c>
      <c r="N181" s="179">
        <f t="shared" si="92"/>
        <v>15</v>
      </c>
    </row>
    <row r="182" spans="1:14" s="141" customFormat="1" ht="39.6" x14ac:dyDescent="0.25">
      <c r="A182" s="130" t="s">
        <v>753</v>
      </c>
      <c r="B182" s="309" t="s">
        <v>310</v>
      </c>
      <c r="C182" s="310" t="s">
        <v>116</v>
      </c>
      <c r="D182" s="325">
        <v>77</v>
      </c>
      <c r="E182" s="325">
        <v>24.22</v>
      </c>
      <c r="F182" s="325">
        <v>1864.94</v>
      </c>
      <c r="G182" s="124">
        <v>0</v>
      </c>
      <c r="H182" s="124">
        <v>77</v>
      </c>
      <c r="I182" s="121">
        <f t="shared" si="86"/>
        <v>77</v>
      </c>
      <c r="J182" s="124">
        <f t="shared" si="87"/>
        <v>0</v>
      </c>
      <c r="K182" s="124">
        <f t="shared" si="88"/>
        <v>1864.94</v>
      </c>
      <c r="L182" s="121">
        <f t="shared" si="89"/>
        <v>1864.94</v>
      </c>
      <c r="M182" s="129">
        <f t="shared" si="90"/>
        <v>1</v>
      </c>
      <c r="N182" s="179">
        <f t="shared" si="92"/>
        <v>0</v>
      </c>
    </row>
    <row r="183" spans="1:14" s="141" customFormat="1" ht="39.6" x14ac:dyDescent="0.25">
      <c r="A183" s="130" t="s">
        <v>754</v>
      </c>
      <c r="B183" s="309" t="s">
        <v>312</v>
      </c>
      <c r="C183" s="310" t="s">
        <v>116</v>
      </c>
      <c r="D183" s="326">
        <v>2</v>
      </c>
      <c r="E183" s="326">
        <v>50.98</v>
      </c>
      <c r="F183" s="326">
        <v>101.96</v>
      </c>
      <c r="G183" s="124">
        <v>0</v>
      </c>
      <c r="H183" s="124">
        <v>2</v>
      </c>
      <c r="I183" s="121">
        <f t="shared" si="86"/>
        <v>2</v>
      </c>
      <c r="J183" s="124">
        <f t="shared" si="87"/>
        <v>0</v>
      </c>
      <c r="K183" s="124">
        <f t="shared" si="88"/>
        <v>101.96</v>
      </c>
      <c r="L183" s="121">
        <f t="shared" si="89"/>
        <v>101.96</v>
      </c>
      <c r="M183" s="129">
        <f t="shared" si="90"/>
        <v>1</v>
      </c>
      <c r="N183" s="179">
        <f t="shared" si="92"/>
        <v>0</v>
      </c>
    </row>
    <row r="184" spans="1:14" s="141" customFormat="1" ht="52.8" x14ac:dyDescent="0.25">
      <c r="A184" s="130" t="s">
        <v>755</v>
      </c>
      <c r="B184" s="309" t="s">
        <v>314</v>
      </c>
      <c r="C184" s="310" t="s">
        <v>31</v>
      </c>
      <c r="D184" s="324">
        <v>4</v>
      </c>
      <c r="E184" s="324">
        <v>8.41</v>
      </c>
      <c r="F184" s="324">
        <v>33.64</v>
      </c>
      <c r="G184" s="124">
        <v>0</v>
      </c>
      <c r="H184" s="124">
        <v>4</v>
      </c>
      <c r="I184" s="121">
        <f t="shared" si="86"/>
        <v>4</v>
      </c>
      <c r="J184" s="124">
        <f t="shared" si="87"/>
        <v>0</v>
      </c>
      <c r="K184" s="124">
        <f t="shared" si="88"/>
        <v>33.64</v>
      </c>
      <c r="L184" s="121">
        <f t="shared" si="89"/>
        <v>33.64</v>
      </c>
      <c r="M184" s="129">
        <f t="shared" si="90"/>
        <v>1</v>
      </c>
      <c r="N184" s="179">
        <f t="shared" si="92"/>
        <v>0</v>
      </c>
    </row>
    <row r="185" spans="1:14" s="141" customFormat="1" ht="52.8" x14ac:dyDescent="0.25">
      <c r="A185" s="130" t="s">
        <v>756</v>
      </c>
      <c r="B185" s="309" t="s">
        <v>316</v>
      </c>
      <c r="C185" s="310" t="s">
        <v>31</v>
      </c>
      <c r="D185" s="324">
        <v>20</v>
      </c>
      <c r="E185" s="324">
        <v>8.19</v>
      </c>
      <c r="F185" s="324">
        <v>163.80000000000001</v>
      </c>
      <c r="G185" s="124">
        <v>0</v>
      </c>
      <c r="H185" s="124">
        <v>12</v>
      </c>
      <c r="I185" s="121">
        <f t="shared" si="86"/>
        <v>12</v>
      </c>
      <c r="J185" s="124">
        <f t="shared" si="87"/>
        <v>0</v>
      </c>
      <c r="K185" s="124">
        <f t="shared" si="88"/>
        <v>98.28</v>
      </c>
      <c r="L185" s="121">
        <f t="shared" si="89"/>
        <v>98.28</v>
      </c>
      <c r="M185" s="129">
        <f t="shared" si="90"/>
        <v>0.6</v>
      </c>
      <c r="N185" s="179">
        <f t="shared" si="92"/>
        <v>8</v>
      </c>
    </row>
    <row r="186" spans="1:14" s="141" customFormat="1" ht="52.8" x14ac:dyDescent="0.25">
      <c r="A186" s="130" t="s">
        <v>757</v>
      </c>
      <c r="B186" s="309" t="s">
        <v>318</v>
      </c>
      <c r="C186" s="310" t="s">
        <v>31</v>
      </c>
      <c r="D186" s="324">
        <v>8</v>
      </c>
      <c r="E186" s="324">
        <v>24.61</v>
      </c>
      <c r="F186" s="324">
        <v>196.88</v>
      </c>
      <c r="G186" s="124">
        <v>0</v>
      </c>
      <c r="H186" s="124">
        <v>5</v>
      </c>
      <c r="I186" s="121">
        <f t="shared" si="86"/>
        <v>5</v>
      </c>
      <c r="J186" s="124">
        <f t="shared" si="87"/>
        <v>0</v>
      </c>
      <c r="K186" s="124">
        <f t="shared" si="88"/>
        <v>123.05</v>
      </c>
      <c r="L186" s="121">
        <f t="shared" si="89"/>
        <v>123.05</v>
      </c>
      <c r="M186" s="129">
        <f t="shared" si="90"/>
        <v>0.625</v>
      </c>
      <c r="N186" s="179">
        <f t="shared" si="92"/>
        <v>3</v>
      </c>
    </row>
    <row r="187" spans="1:14" s="141" customFormat="1" ht="52.8" x14ac:dyDescent="0.25">
      <c r="A187" s="130" t="s">
        <v>758</v>
      </c>
      <c r="B187" s="309" t="s">
        <v>320</v>
      </c>
      <c r="C187" s="310" t="s">
        <v>31</v>
      </c>
      <c r="D187" s="324">
        <v>9</v>
      </c>
      <c r="E187" s="324">
        <v>12.05</v>
      </c>
      <c r="F187" s="324">
        <v>108.45</v>
      </c>
      <c r="G187" s="124">
        <v>0</v>
      </c>
      <c r="H187" s="124">
        <v>0</v>
      </c>
      <c r="I187" s="121">
        <f t="shared" si="86"/>
        <v>0</v>
      </c>
      <c r="J187" s="124">
        <f t="shared" si="87"/>
        <v>0</v>
      </c>
      <c r="K187" s="124">
        <f t="shared" si="88"/>
        <v>0</v>
      </c>
      <c r="L187" s="121">
        <f t="shared" si="89"/>
        <v>0</v>
      </c>
      <c r="M187" s="129">
        <f t="shared" si="90"/>
        <v>0</v>
      </c>
      <c r="N187" s="179">
        <f t="shared" si="92"/>
        <v>9</v>
      </c>
    </row>
    <row r="188" spans="1:14" s="141" customFormat="1" ht="52.8" x14ac:dyDescent="0.25">
      <c r="A188" s="130" t="s">
        <v>759</v>
      </c>
      <c r="B188" s="309" t="s">
        <v>322</v>
      </c>
      <c r="C188" s="310" t="s">
        <v>31</v>
      </c>
      <c r="D188" s="324">
        <v>5</v>
      </c>
      <c r="E188" s="324">
        <v>46.45</v>
      </c>
      <c r="F188" s="324">
        <v>232.25</v>
      </c>
      <c r="G188" s="124">
        <v>0</v>
      </c>
      <c r="H188" s="124">
        <v>0</v>
      </c>
      <c r="I188" s="121">
        <f t="shared" si="86"/>
        <v>0</v>
      </c>
      <c r="J188" s="124">
        <f t="shared" si="87"/>
        <v>0</v>
      </c>
      <c r="K188" s="124">
        <f t="shared" si="88"/>
        <v>0</v>
      </c>
      <c r="L188" s="121">
        <f t="shared" si="89"/>
        <v>0</v>
      </c>
      <c r="M188" s="129">
        <f t="shared" si="90"/>
        <v>0</v>
      </c>
      <c r="N188" s="179">
        <f t="shared" si="92"/>
        <v>5</v>
      </c>
    </row>
    <row r="189" spans="1:14" s="141" customFormat="1" ht="52.8" x14ac:dyDescent="0.25">
      <c r="A189" s="130" t="s">
        <v>760</v>
      </c>
      <c r="B189" s="309" t="s">
        <v>322</v>
      </c>
      <c r="C189" s="310" t="s">
        <v>31</v>
      </c>
      <c r="D189" s="324">
        <v>3</v>
      </c>
      <c r="E189" s="324">
        <v>46.45</v>
      </c>
      <c r="F189" s="324">
        <v>139.35</v>
      </c>
      <c r="G189" s="124">
        <v>0</v>
      </c>
      <c r="H189" s="124">
        <v>0</v>
      </c>
      <c r="I189" s="121">
        <f t="shared" si="86"/>
        <v>0</v>
      </c>
      <c r="J189" s="124">
        <f t="shared" si="87"/>
        <v>0</v>
      </c>
      <c r="K189" s="124">
        <f t="shared" si="88"/>
        <v>0</v>
      </c>
      <c r="L189" s="121">
        <f t="shared" si="89"/>
        <v>0</v>
      </c>
      <c r="M189" s="129">
        <f t="shared" si="90"/>
        <v>0</v>
      </c>
      <c r="N189" s="179">
        <f t="shared" si="92"/>
        <v>3</v>
      </c>
    </row>
    <row r="190" spans="1:14" s="141" customFormat="1" ht="39.6" x14ac:dyDescent="0.25">
      <c r="A190" s="130" t="s">
        <v>761</v>
      </c>
      <c r="B190" s="309" t="s">
        <v>324</v>
      </c>
      <c r="C190" s="310" t="s">
        <v>31</v>
      </c>
      <c r="D190" s="324">
        <v>4</v>
      </c>
      <c r="E190" s="324">
        <v>36.49</v>
      </c>
      <c r="F190" s="324">
        <v>145.96</v>
      </c>
      <c r="G190" s="124">
        <v>0</v>
      </c>
      <c r="H190" s="124">
        <v>0</v>
      </c>
      <c r="I190" s="121">
        <f t="shared" si="86"/>
        <v>0</v>
      </c>
      <c r="J190" s="124">
        <f t="shared" si="87"/>
        <v>0</v>
      </c>
      <c r="K190" s="124">
        <f t="shared" si="88"/>
        <v>0</v>
      </c>
      <c r="L190" s="121">
        <f t="shared" si="89"/>
        <v>0</v>
      </c>
      <c r="M190" s="129">
        <f t="shared" si="90"/>
        <v>0</v>
      </c>
      <c r="N190" s="179">
        <f t="shared" si="92"/>
        <v>4</v>
      </c>
    </row>
    <row r="191" spans="1:14" s="141" customFormat="1" ht="39.6" x14ac:dyDescent="0.25">
      <c r="A191" s="130" t="s">
        <v>762</v>
      </c>
      <c r="B191" s="309" t="s">
        <v>326</v>
      </c>
      <c r="C191" s="310" t="s">
        <v>31</v>
      </c>
      <c r="D191" s="324">
        <v>4</v>
      </c>
      <c r="E191" s="324">
        <v>15.76</v>
      </c>
      <c r="F191" s="324">
        <v>63.04</v>
      </c>
      <c r="G191" s="124">
        <v>0</v>
      </c>
      <c r="H191" s="124">
        <v>0</v>
      </c>
      <c r="I191" s="121">
        <f t="shared" si="86"/>
        <v>0</v>
      </c>
      <c r="J191" s="124">
        <f t="shared" si="87"/>
        <v>0</v>
      </c>
      <c r="K191" s="124">
        <f t="shared" si="88"/>
        <v>0</v>
      </c>
      <c r="L191" s="121">
        <f t="shared" si="89"/>
        <v>0</v>
      </c>
      <c r="M191" s="129">
        <f t="shared" si="90"/>
        <v>0</v>
      </c>
      <c r="N191" s="179">
        <f t="shared" si="92"/>
        <v>4</v>
      </c>
    </row>
    <row r="192" spans="1:14" s="141" customFormat="1" ht="26.4" x14ac:dyDescent="0.25">
      <c r="A192" s="130" t="s">
        <v>763</v>
      </c>
      <c r="B192" s="309" t="s">
        <v>328</v>
      </c>
      <c r="C192" s="310" t="s">
        <v>31</v>
      </c>
      <c r="D192" s="324">
        <v>4</v>
      </c>
      <c r="E192" s="324">
        <v>51.41</v>
      </c>
      <c r="F192" s="324">
        <v>205.64</v>
      </c>
      <c r="G192" s="124">
        <v>0</v>
      </c>
      <c r="H192" s="124">
        <v>0</v>
      </c>
      <c r="I192" s="121">
        <f t="shared" si="86"/>
        <v>0</v>
      </c>
      <c r="J192" s="124">
        <f t="shared" si="87"/>
        <v>0</v>
      </c>
      <c r="K192" s="124">
        <f t="shared" si="88"/>
        <v>0</v>
      </c>
      <c r="L192" s="121">
        <f t="shared" si="89"/>
        <v>0</v>
      </c>
      <c r="M192" s="129">
        <f t="shared" si="90"/>
        <v>0</v>
      </c>
      <c r="N192" s="179">
        <f t="shared" si="92"/>
        <v>4</v>
      </c>
    </row>
    <row r="193" spans="1:14" s="141" customFormat="1" x14ac:dyDescent="0.25">
      <c r="A193" s="130" t="s">
        <v>764</v>
      </c>
      <c r="B193" s="309" t="s">
        <v>330</v>
      </c>
      <c r="C193" s="310" t="s">
        <v>24</v>
      </c>
      <c r="D193" s="324">
        <v>10</v>
      </c>
      <c r="E193" s="324">
        <v>262.14</v>
      </c>
      <c r="F193" s="324">
        <v>2621.4</v>
      </c>
      <c r="G193" s="124">
        <v>0</v>
      </c>
      <c r="H193" s="124">
        <v>0</v>
      </c>
      <c r="I193" s="121">
        <f t="shared" si="86"/>
        <v>0</v>
      </c>
      <c r="J193" s="124">
        <f t="shared" si="87"/>
        <v>0</v>
      </c>
      <c r="K193" s="124">
        <f t="shared" si="88"/>
        <v>0</v>
      </c>
      <c r="L193" s="121">
        <f t="shared" si="89"/>
        <v>0</v>
      </c>
      <c r="M193" s="129">
        <f t="shared" si="90"/>
        <v>0</v>
      </c>
      <c r="N193" s="179">
        <f t="shared" si="92"/>
        <v>10</v>
      </c>
    </row>
    <row r="194" spans="1:14" s="141" customFormat="1" ht="26.4" x14ac:dyDescent="0.25">
      <c r="A194" s="130" t="s">
        <v>765</v>
      </c>
      <c r="B194" s="309" t="s">
        <v>332</v>
      </c>
      <c r="C194" s="310" t="s">
        <v>31</v>
      </c>
      <c r="D194" s="324">
        <v>1</v>
      </c>
      <c r="E194" s="324">
        <v>285.52</v>
      </c>
      <c r="F194" s="324">
        <v>285.52</v>
      </c>
      <c r="G194" s="124">
        <v>0</v>
      </c>
      <c r="H194" s="124">
        <v>0</v>
      </c>
      <c r="I194" s="121">
        <f t="shared" si="86"/>
        <v>0</v>
      </c>
      <c r="J194" s="124">
        <f t="shared" si="87"/>
        <v>0</v>
      </c>
      <c r="K194" s="124">
        <f t="shared" si="88"/>
        <v>0</v>
      </c>
      <c r="L194" s="121">
        <f t="shared" si="89"/>
        <v>0</v>
      </c>
      <c r="M194" s="129">
        <f t="shared" si="90"/>
        <v>0</v>
      </c>
      <c r="N194" s="179">
        <f t="shared" si="92"/>
        <v>1</v>
      </c>
    </row>
    <row r="195" spans="1:14" s="141" customFormat="1" ht="39.6" x14ac:dyDescent="0.25">
      <c r="A195" s="130" t="s">
        <v>766</v>
      </c>
      <c r="B195" s="309" t="s">
        <v>334</v>
      </c>
      <c r="C195" s="310" t="s">
        <v>31</v>
      </c>
      <c r="D195" s="324">
        <v>4</v>
      </c>
      <c r="E195" s="324">
        <v>3734.61</v>
      </c>
      <c r="F195" s="324">
        <v>14938.44</v>
      </c>
      <c r="G195" s="124">
        <v>0</v>
      </c>
      <c r="H195" s="124">
        <v>0</v>
      </c>
      <c r="I195" s="121">
        <f t="shared" si="86"/>
        <v>0</v>
      </c>
      <c r="J195" s="124">
        <f t="shared" si="87"/>
        <v>0</v>
      </c>
      <c r="K195" s="124">
        <f t="shared" si="88"/>
        <v>0</v>
      </c>
      <c r="L195" s="121">
        <f t="shared" si="89"/>
        <v>0</v>
      </c>
      <c r="M195" s="129">
        <f t="shared" si="90"/>
        <v>0</v>
      </c>
      <c r="N195" s="179">
        <f t="shared" si="92"/>
        <v>4</v>
      </c>
    </row>
    <row r="196" spans="1:14" s="141" customFormat="1" ht="39.6" x14ac:dyDescent="0.25">
      <c r="A196" s="130" t="s">
        <v>767</v>
      </c>
      <c r="B196" s="309" t="s">
        <v>336</v>
      </c>
      <c r="C196" s="310" t="s">
        <v>31</v>
      </c>
      <c r="D196" s="324">
        <v>1</v>
      </c>
      <c r="E196" s="324">
        <v>9121.2099999999991</v>
      </c>
      <c r="F196" s="324">
        <v>9121.2099999999991</v>
      </c>
      <c r="G196" s="124">
        <v>0</v>
      </c>
      <c r="H196" s="124">
        <v>0</v>
      </c>
      <c r="I196" s="121">
        <f t="shared" si="86"/>
        <v>0</v>
      </c>
      <c r="J196" s="124">
        <f t="shared" si="87"/>
        <v>0</v>
      </c>
      <c r="K196" s="124">
        <f t="shared" si="88"/>
        <v>0</v>
      </c>
      <c r="L196" s="121">
        <f t="shared" si="89"/>
        <v>0</v>
      </c>
      <c r="M196" s="129">
        <f t="shared" si="90"/>
        <v>0</v>
      </c>
      <c r="N196" s="179">
        <f t="shared" si="92"/>
        <v>1</v>
      </c>
    </row>
    <row r="197" spans="1:14" s="141" customFormat="1" ht="26.4" x14ac:dyDescent="0.25">
      <c r="A197" s="130" t="s">
        <v>768</v>
      </c>
      <c r="B197" s="309" t="s">
        <v>338</v>
      </c>
      <c r="C197" s="310" t="s">
        <v>116</v>
      </c>
      <c r="D197" s="324">
        <v>8.42</v>
      </c>
      <c r="E197" s="324">
        <v>170.96</v>
      </c>
      <c r="F197" s="324">
        <v>1439.48</v>
      </c>
      <c r="G197" s="124">
        <v>0</v>
      </c>
      <c r="H197" s="124">
        <v>0</v>
      </c>
      <c r="I197" s="121">
        <f t="shared" si="86"/>
        <v>0</v>
      </c>
      <c r="J197" s="124">
        <f t="shared" si="87"/>
        <v>0</v>
      </c>
      <c r="K197" s="124">
        <f t="shared" si="88"/>
        <v>0</v>
      </c>
      <c r="L197" s="121">
        <f t="shared" si="89"/>
        <v>0</v>
      </c>
      <c r="M197" s="129">
        <f t="shared" si="90"/>
        <v>0</v>
      </c>
      <c r="N197" s="179">
        <f t="shared" si="92"/>
        <v>8.42</v>
      </c>
    </row>
    <row r="198" spans="1:14" ht="32.25" customHeight="1" x14ac:dyDescent="0.25">
      <c r="A198" s="131">
        <v>14</v>
      </c>
      <c r="B198" s="313" t="s">
        <v>340</v>
      </c>
      <c r="C198" s="132"/>
      <c r="D198" s="333"/>
      <c r="E198" s="333"/>
      <c r="F198" s="334">
        <f>SUM(F199:F218)</f>
        <v>15256.04</v>
      </c>
      <c r="G198" s="128"/>
      <c r="H198" s="128"/>
      <c r="I198" s="128"/>
      <c r="J198" s="117">
        <f>SUM(J199:J218)</f>
        <v>0</v>
      </c>
      <c r="K198" s="117">
        <f>SUM(K199:K218)</f>
        <v>0</v>
      </c>
      <c r="L198" s="117"/>
      <c r="M198" s="314">
        <f>L198/F198</f>
        <v>0</v>
      </c>
    </row>
    <row r="199" spans="1:14" s="141" customFormat="1" x14ac:dyDescent="0.25">
      <c r="A199" s="130" t="s">
        <v>769</v>
      </c>
      <c r="B199" s="309" t="s">
        <v>342</v>
      </c>
      <c r="C199" s="310" t="s">
        <v>31</v>
      </c>
      <c r="D199" s="324">
        <v>2</v>
      </c>
      <c r="E199" s="324">
        <v>67.19</v>
      </c>
      <c r="F199" s="324">
        <v>134.38</v>
      </c>
      <c r="G199" s="124">
        <v>0</v>
      </c>
      <c r="H199" s="124">
        <v>0</v>
      </c>
      <c r="I199" s="121"/>
      <c r="J199" s="124">
        <f>TRUNC(E199*G199,2)</f>
        <v>0</v>
      </c>
      <c r="K199" s="124">
        <f>TRUNC(E199*H199,2)</f>
        <v>0</v>
      </c>
      <c r="L199" s="121">
        <f>J199+K199</f>
        <v>0</v>
      </c>
      <c r="M199" s="129">
        <f t="shared" ref="M199" si="93">L199/F199</f>
        <v>0</v>
      </c>
      <c r="N199" s="179">
        <f t="shared" ref="N199:N218" si="94">D199-I199</f>
        <v>2</v>
      </c>
    </row>
    <row r="200" spans="1:14" s="141" customFormat="1" ht="52.8" x14ac:dyDescent="0.25">
      <c r="A200" s="130" t="s">
        <v>770</v>
      </c>
      <c r="B200" s="309" t="s">
        <v>344</v>
      </c>
      <c r="C200" s="310" t="s">
        <v>31</v>
      </c>
      <c r="D200" s="324">
        <v>5</v>
      </c>
      <c r="E200" s="324">
        <v>275.16000000000003</v>
      </c>
      <c r="F200" s="324">
        <v>1375.8</v>
      </c>
      <c r="G200" s="124">
        <v>0</v>
      </c>
      <c r="H200" s="124">
        <v>0</v>
      </c>
      <c r="I200" s="121">
        <f>G200+H200</f>
        <v>0</v>
      </c>
      <c r="J200" s="124">
        <f>TRUNC(E200*G200,2)</f>
        <v>0</v>
      </c>
      <c r="K200" s="124">
        <f>TRUNC(E200*H200,2)</f>
        <v>0</v>
      </c>
      <c r="L200" s="121">
        <f>J200+K200</f>
        <v>0</v>
      </c>
      <c r="M200" s="129">
        <f t="shared" si="90"/>
        <v>0</v>
      </c>
      <c r="N200" s="179">
        <f t="shared" si="94"/>
        <v>5</v>
      </c>
    </row>
    <row r="201" spans="1:14" s="141" customFormat="1" ht="39.6" x14ac:dyDescent="0.25">
      <c r="A201" s="130" t="s">
        <v>771</v>
      </c>
      <c r="B201" s="309" t="s">
        <v>346</v>
      </c>
      <c r="C201" s="310" t="s">
        <v>31</v>
      </c>
      <c r="D201" s="324">
        <v>5</v>
      </c>
      <c r="E201" s="324">
        <v>279.68</v>
      </c>
      <c r="F201" s="324">
        <v>1398.4</v>
      </c>
      <c r="G201" s="124">
        <v>0</v>
      </c>
      <c r="H201" s="124">
        <v>0</v>
      </c>
      <c r="I201" s="121">
        <f>G201+H201</f>
        <v>0</v>
      </c>
      <c r="J201" s="124">
        <f>TRUNC(E201*G201,2)</f>
        <v>0</v>
      </c>
      <c r="K201" s="124">
        <f>TRUNC(E201*H201,2)</f>
        <v>0</v>
      </c>
      <c r="L201" s="121">
        <f>J201+K201</f>
        <v>0</v>
      </c>
      <c r="M201" s="129">
        <f t="shared" si="90"/>
        <v>0</v>
      </c>
      <c r="N201" s="179">
        <f t="shared" si="94"/>
        <v>5</v>
      </c>
    </row>
    <row r="202" spans="1:14" s="141" customFormat="1" ht="39.6" x14ac:dyDescent="0.25">
      <c r="A202" s="130" t="s">
        <v>772</v>
      </c>
      <c r="B202" s="309" t="s">
        <v>348</v>
      </c>
      <c r="C202" s="310" t="s">
        <v>31</v>
      </c>
      <c r="D202" s="324">
        <v>3</v>
      </c>
      <c r="E202" s="324">
        <v>452.74</v>
      </c>
      <c r="F202" s="324">
        <v>1358.22</v>
      </c>
      <c r="G202" s="124">
        <v>0</v>
      </c>
      <c r="H202" s="124">
        <v>0</v>
      </c>
      <c r="I202" s="121">
        <f t="shared" ref="I202:I218" si="95">G202+H202</f>
        <v>0</v>
      </c>
      <c r="J202" s="124">
        <f t="shared" ref="J202:J218" si="96">TRUNC(E202*G202,2)</f>
        <v>0</v>
      </c>
      <c r="K202" s="124">
        <f t="shared" ref="K202:K218" si="97">TRUNC(E202*H202,2)</f>
        <v>0</v>
      </c>
      <c r="L202" s="121">
        <f t="shared" ref="L202:L218" si="98">J202+K202</f>
        <v>0</v>
      </c>
      <c r="M202" s="129">
        <f t="shared" si="90"/>
        <v>0</v>
      </c>
      <c r="N202" s="179">
        <f t="shared" si="94"/>
        <v>3</v>
      </c>
    </row>
    <row r="203" spans="1:14" s="141" customFormat="1" ht="26.4" x14ac:dyDescent="0.25">
      <c r="A203" s="130" t="s">
        <v>773</v>
      </c>
      <c r="B203" s="309" t="s">
        <v>350</v>
      </c>
      <c r="C203" s="310" t="s">
        <v>31</v>
      </c>
      <c r="D203" s="324">
        <v>1</v>
      </c>
      <c r="E203" s="324">
        <v>611.21</v>
      </c>
      <c r="F203" s="324">
        <v>611.21</v>
      </c>
      <c r="G203" s="124">
        <v>0</v>
      </c>
      <c r="H203" s="124">
        <v>0</v>
      </c>
      <c r="I203" s="121">
        <f t="shared" si="95"/>
        <v>0</v>
      </c>
      <c r="J203" s="124">
        <f t="shared" si="96"/>
        <v>0</v>
      </c>
      <c r="K203" s="124">
        <f t="shared" si="97"/>
        <v>0</v>
      </c>
      <c r="L203" s="121">
        <f t="shared" si="98"/>
        <v>0</v>
      </c>
      <c r="M203" s="129">
        <f t="shared" si="90"/>
        <v>0</v>
      </c>
      <c r="N203" s="179">
        <f t="shared" si="94"/>
        <v>1</v>
      </c>
    </row>
    <row r="204" spans="1:14" s="141" customFormat="1" ht="39.6" x14ac:dyDescent="0.25">
      <c r="A204" s="130" t="s">
        <v>774</v>
      </c>
      <c r="B204" s="309" t="s">
        <v>352</v>
      </c>
      <c r="C204" s="310" t="s">
        <v>31</v>
      </c>
      <c r="D204" s="324">
        <v>5</v>
      </c>
      <c r="E204" s="324">
        <v>132.51</v>
      </c>
      <c r="F204" s="324">
        <v>662.55</v>
      </c>
      <c r="G204" s="124">
        <v>0</v>
      </c>
      <c r="H204" s="124">
        <v>0</v>
      </c>
      <c r="I204" s="121">
        <f t="shared" si="95"/>
        <v>0</v>
      </c>
      <c r="J204" s="124">
        <f t="shared" si="96"/>
        <v>0</v>
      </c>
      <c r="K204" s="124">
        <f t="shared" si="97"/>
        <v>0</v>
      </c>
      <c r="L204" s="121">
        <f t="shared" si="98"/>
        <v>0</v>
      </c>
      <c r="M204" s="129">
        <f t="shared" si="90"/>
        <v>0</v>
      </c>
      <c r="N204" s="179">
        <f t="shared" si="94"/>
        <v>5</v>
      </c>
    </row>
    <row r="205" spans="1:14" s="141" customFormat="1" ht="26.4" x14ac:dyDescent="0.25">
      <c r="A205" s="130" t="s">
        <v>775</v>
      </c>
      <c r="B205" s="309" t="s">
        <v>354</v>
      </c>
      <c r="C205" s="310" t="s">
        <v>31</v>
      </c>
      <c r="D205" s="324">
        <v>6</v>
      </c>
      <c r="E205" s="324">
        <v>132.80000000000001</v>
      </c>
      <c r="F205" s="324">
        <v>796.8</v>
      </c>
      <c r="G205" s="124">
        <v>0</v>
      </c>
      <c r="H205" s="124">
        <v>0</v>
      </c>
      <c r="I205" s="121">
        <f t="shared" si="95"/>
        <v>0</v>
      </c>
      <c r="J205" s="124">
        <f t="shared" si="96"/>
        <v>0</v>
      </c>
      <c r="K205" s="124">
        <f t="shared" si="97"/>
        <v>0</v>
      </c>
      <c r="L205" s="121">
        <f t="shared" si="98"/>
        <v>0</v>
      </c>
      <c r="M205" s="129">
        <f t="shared" si="90"/>
        <v>0</v>
      </c>
      <c r="N205" s="179">
        <f t="shared" si="94"/>
        <v>6</v>
      </c>
    </row>
    <row r="206" spans="1:14" s="141" customFormat="1" ht="39.6" x14ac:dyDescent="0.25">
      <c r="A206" s="130" t="s">
        <v>776</v>
      </c>
      <c r="B206" s="309" t="s">
        <v>356</v>
      </c>
      <c r="C206" s="310" t="s">
        <v>31</v>
      </c>
      <c r="D206" s="325">
        <v>11</v>
      </c>
      <c r="E206" s="325">
        <v>55.87</v>
      </c>
      <c r="F206" s="325">
        <v>614.57000000000005</v>
      </c>
      <c r="G206" s="124">
        <v>0</v>
      </c>
      <c r="H206" s="124">
        <v>0</v>
      </c>
      <c r="I206" s="121">
        <f t="shared" si="95"/>
        <v>0</v>
      </c>
      <c r="J206" s="124">
        <f t="shared" si="96"/>
        <v>0</v>
      </c>
      <c r="K206" s="124">
        <f t="shared" si="97"/>
        <v>0</v>
      </c>
      <c r="L206" s="121">
        <f t="shared" si="98"/>
        <v>0</v>
      </c>
      <c r="M206" s="129">
        <f t="shared" si="90"/>
        <v>0</v>
      </c>
      <c r="N206" s="179">
        <f t="shared" si="94"/>
        <v>11</v>
      </c>
    </row>
    <row r="207" spans="1:14" s="141" customFormat="1" ht="26.4" x14ac:dyDescent="0.25">
      <c r="A207" s="130" t="s">
        <v>777</v>
      </c>
      <c r="B207" s="309" t="s">
        <v>358</v>
      </c>
      <c r="C207" s="310" t="s">
        <v>31</v>
      </c>
      <c r="D207" s="326">
        <v>8</v>
      </c>
      <c r="E207" s="326">
        <v>25.19</v>
      </c>
      <c r="F207" s="326">
        <v>201.52</v>
      </c>
      <c r="G207" s="124">
        <v>0</v>
      </c>
      <c r="H207" s="124">
        <v>0</v>
      </c>
      <c r="I207" s="121">
        <f t="shared" si="95"/>
        <v>0</v>
      </c>
      <c r="J207" s="124">
        <f t="shared" si="96"/>
        <v>0</v>
      </c>
      <c r="K207" s="124">
        <f t="shared" si="97"/>
        <v>0</v>
      </c>
      <c r="L207" s="121">
        <f t="shared" si="98"/>
        <v>0</v>
      </c>
      <c r="M207" s="129">
        <f t="shared" si="90"/>
        <v>0</v>
      </c>
      <c r="N207" s="179">
        <f t="shared" si="94"/>
        <v>8</v>
      </c>
    </row>
    <row r="208" spans="1:14" s="141" customFormat="1" ht="39.6" x14ac:dyDescent="0.25">
      <c r="A208" s="130" t="s">
        <v>778</v>
      </c>
      <c r="B208" s="309" t="s">
        <v>360</v>
      </c>
      <c r="C208" s="310" t="s">
        <v>31</v>
      </c>
      <c r="D208" s="324">
        <v>4</v>
      </c>
      <c r="E208" s="324">
        <v>307.7</v>
      </c>
      <c r="F208" s="324">
        <v>1230.8</v>
      </c>
      <c r="G208" s="124">
        <v>0</v>
      </c>
      <c r="H208" s="124">
        <v>0</v>
      </c>
      <c r="I208" s="121">
        <f t="shared" si="95"/>
        <v>0</v>
      </c>
      <c r="J208" s="124">
        <f t="shared" si="96"/>
        <v>0</v>
      </c>
      <c r="K208" s="124">
        <f t="shared" si="97"/>
        <v>0</v>
      </c>
      <c r="L208" s="121">
        <f t="shared" si="98"/>
        <v>0</v>
      </c>
      <c r="M208" s="129">
        <f t="shared" si="90"/>
        <v>0</v>
      </c>
      <c r="N208" s="179">
        <f t="shared" si="94"/>
        <v>4</v>
      </c>
    </row>
    <row r="209" spans="1:14" s="141" customFormat="1" ht="39.6" x14ac:dyDescent="0.25">
      <c r="A209" s="130" t="s">
        <v>779</v>
      </c>
      <c r="B209" s="309" t="s">
        <v>362</v>
      </c>
      <c r="C209" s="310" t="s">
        <v>31</v>
      </c>
      <c r="D209" s="324">
        <v>2</v>
      </c>
      <c r="E209" s="324">
        <v>593.77</v>
      </c>
      <c r="F209" s="324">
        <v>1187.54</v>
      </c>
      <c r="G209" s="124">
        <v>0</v>
      </c>
      <c r="H209" s="124">
        <v>0</v>
      </c>
      <c r="I209" s="121">
        <f t="shared" si="95"/>
        <v>0</v>
      </c>
      <c r="J209" s="124">
        <f t="shared" si="96"/>
        <v>0</v>
      </c>
      <c r="K209" s="124">
        <f t="shared" si="97"/>
        <v>0</v>
      </c>
      <c r="L209" s="121">
        <f t="shared" si="98"/>
        <v>0</v>
      </c>
      <c r="M209" s="129">
        <f t="shared" si="90"/>
        <v>0</v>
      </c>
      <c r="N209" s="179">
        <f t="shared" si="94"/>
        <v>2</v>
      </c>
    </row>
    <row r="210" spans="1:14" s="141" customFormat="1" x14ac:dyDescent="0.25">
      <c r="A210" s="130" t="s">
        <v>780</v>
      </c>
      <c r="B210" s="309" t="s">
        <v>364</v>
      </c>
      <c r="C210" s="310" t="s">
        <v>365</v>
      </c>
      <c r="D210" s="324">
        <v>9</v>
      </c>
      <c r="E210" s="324">
        <v>44.86</v>
      </c>
      <c r="F210" s="324">
        <v>403.74</v>
      </c>
      <c r="G210" s="124">
        <v>0</v>
      </c>
      <c r="H210" s="124">
        <v>0</v>
      </c>
      <c r="I210" s="121">
        <f t="shared" si="95"/>
        <v>0</v>
      </c>
      <c r="J210" s="124">
        <f t="shared" si="96"/>
        <v>0</v>
      </c>
      <c r="K210" s="124">
        <f t="shared" si="97"/>
        <v>0</v>
      </c>
      <c r="L210" s="121">
        <f t="shared" si="98"/>
        <v>0</v>
      </c>
      <c r="M210" s="129">
        <f t="shared" si="90"/>
        <v>0</v>
      </c>
      <c r="N210" s="179">
        <f t="shared" si="94"/>
        <v>9</v>
      </c>
    </row>
    <row r="211" spans="1:14" s="141" customFormat="1" ht="39.6" x14ac:dyDescent="0.25">
      <c r="A211" s="130" t="s">
        <v>781</v>
      </c>
      <c r="B211" s="309" t="s">
        <v>367</v>
      </c>
      <c r="C211" s="310" t="s">
        <v>31</v>
      </c>
      <c r="D211" s="324">
        <v>9</v>
      </c>
      <c r="E211" s="324">
        <v>87.18</v>
      </c>
      <c r="F211" s="324">
        <v>784.62</v>
      </c>
      <c r="G211" s="124">
        <v>0</v>
      </c>
      <c r="H211" s="124">
        <v>0</v>
      </c>
      <c r="I211" s="121">
        <f t="shared" si="95"/>
        <v>0</v>
      </c>
      <c r="J211" s="124">
        <f t="shared" si="96"/>
        <v>0</v>
      </c>
      <c r="K211" s="124">
        <f t="shared" si="97"/>
        <v>0</v>
      </c>
      <c r="L211" s="121">
        <f t="shared" si="98"/>
        <v>0</v>
      </c>
      <c r="M211" s="129">
        <f t="shared" si="90"/>
        <v>0</v>
      </c>
      <c r="N211" s="179">
        <f t="shared" si="94"/>
        <v>9</v>
      </c>
    </row>
    <row r="212" spans="1:14" s="141" customFormat="1" ht="52.8" x14ac:dyDescent="0.25">
      <c r="A212" s="130" t="s">
        <v>782</v>
      </c>
      <c r="B212" s="309" t="s">
        <v>369</v>
      </c>
      <c r="C212" s="310" t="s">
        <v>31</v>
      </c>
      <c r="D212" s="324">
        <v>1</v>
      </c>
      <c r="E212" s="324">
        <v>786.68</v>
      </c>
      <c r="F212" s="324">
        <v>786.68</v>
      </c>
      <c r="G212" s="124">
        <v>0</v>
      </c>
      <c r="H212" s="124">
        <v>0</v>
      </c>
      <c r="I212" s="121">
        <f t="shared" si="95"/>
        <v>0</v>
      </c>
      <c r="J212" s="124">
        <f t="shared" si="96"/>
        <v>0</v>
      </c>
      <c r="K212" s="124">
        <f t="shared" si="97"/>
        <v>0</v>
      </c>
      <c r="L212" s="121">
        <f t="shared" si="98"/>
        <v>0</v>
      </c>
      <c r="M212" s="129">
        <f t="shared" si="90"/>
        <v>0</v>
      </c>
      <c r="N212" s="179">
        <f t="shared" si="94"/>
        <v>1</v>
      </c>
    </row>
    <row r="213" spans="1:14" s="141" customFormat="1" ht="39.6" x14ac:dyDescent="0.25">
      <c r="A213" s="130" t="s">
        <v>783</v>
      </c>
      <c r="B213" s="309" t="s">
        <v>371</v>
      </c>
      <c r="C213" s="310" t="s">
        <v>31</v>
      </c>
      <c r="D213" s="324">
        <v>4</v>
      </c>
      <c r="E213" s="324">
        <v>406.52</v>
      </c>
      <c r="F213" s="324">
        <v>1626.08</v>
      </c>
      <c r="G213" s="124">
        <v>0</v>
      </c>
      <c r="H213" s="124">
        <v>0</v>
      </c>
      <c r="I213" s="121">
        <f t="shared" si="95"/>
        <v>0</v>
      </c>
      <c r="J213" s="124">
        <f t="shared" si="96"/>
        <v>0</v>
      </c>
      <c r="K213" s="124">
        <f t="shared" si="97"/>
        <v>0</v>
      </c>
      <c r="L213" s="121">
        <f t="shared" si="98"/>
        <v>0</v>
      </c>
      <c r="M213" s="129">
        <f t="shared" si="90"/>
        <v>0</v>
      </c>
      <c r="N213" s="179">
        <f t="shared" si="94"/>
        <v>4</v>
      </c>
    </row>
    <row r="214" spans="1:14" s="141" customFormat="1" ht="39.6" x14ac:dyDescent="0.25">
      <c r="A214" s="130" t="s">
        <v>784</v>
      </c>
      <c r="B214" s="309" t="s">
        <v>373</v>
      </c>
      <c r="C214" s="310" t="s">
        <v>31</v>
      </c>
      <c r="D214" s="324">
        <v>5</v>
      </c>
      <c r="E214" s="324">
        <v>97.03</v>
      </c>
      <c r="F214" s="324">
        <v>485.15</v>
      </c>
      <c r="G214" s="124">
        <v>0</v>
      </c>
      <c r="H214" s="124">
        <v>0</v>
      </c>
      <c r="I214" s="121">
        <f t="shared" si="95"/>
        <v>0</v>
      </c>
      <c r="J214" s="124">
        <f t="shared" si="96"/>
        <v>0</v>
      </c>
      <c r="K214" s="124">
        <f t="shared" si="97"/>
        <v>0</v>
      </c>
      <c r="L214" s="121">
        <f t="shared" si="98"/>
        <v>0</v>
      </c>
      <c r="M214" s="129">
        <f t="shared" si="90"/>
        <v>0</v>
      </c>
      <c r="N214" s="179">
        <f t="shared" si="94"/>
        <v>5</v>
      </c>
    </row>
    <row r="215" spans="1:14" s="141" customFormat="1" ht="39.6" x14ac:dyDescent="0.25">
      <c r="A215" s="130" t="s">
        <v>785</v>
      </c>
      <c r="B215" s="309" t="s">
        <v>371</v>
      </c>
      <c r="C215" s="310" t="s">
        <v>31</v>
      </c>
      <c r="D215" s="324">
        <v>2</v>
      </c>
      <c r="E215" s="324">
        <v>406.52</v>
      </c>
      <c r="F215" s="324">
        <v>813.04</v>
      </c>
      <c r="G215" s="124">
        <v>0</v>
      </c>
      <c r="H215" s="124">
        <v>0</v>
      </c>
      <c r="I215" s="121">
        <f t="shared" si="95"/>
        <v>0</v>
      </c>
      <c r="J215" s="124">
        <f t="shared" si="96"/>
        <v>0</v>
      </c>
      <c r="K215" s="124">
        <f t="shared" si="97"/>
        <v>0</v>
      </c>
      <c r="L215" s="121">
        <f t="shared" si="98"/>
        <v>0</v>
      </c>
      <c r="M215" s="129">
        <f t="shared" si="90"/>
        <v>0</v>
      </c>
      <c r="N215" s="179">
        <f t="shared" si="94"/>
        <v>2</v>
      </c>
    </row>
    <row r="216" spans="1:14" s="141" customFormat="1" x14ac:dyDescent="0.25">
      <c r="A216" s="130" t="s">
        <v>786</v>
      </c>
      <c r="B216" s="309" t="s">
        <v>375</v>
      </c>
      <c r="C216" s="310" t="s">
        <v>31</v>
      </c>
      <c r="D216" s="324">
        <v>1</v>
      </c>
      <c r="E216" s="324">
        <v>145.71</v>
      </c>
      <c r="F216" s="324">
        <v>145.71</v>
      </c>
      <c r="G216" s="124">
        <v>0</v>
      </c>
      <c r="H216" s="124">
        <v>0</v>
      </c>
      <c r="I216" s="121">
        <f t="shared" si="95"/>
        <v>0</v>
      </c>
      <c r="J216" s="124">
        <f t="shared" si="96"/>
        <v>0</v>
      </c>
      <c r="K216" s="124">
        <f t="shared" si="97"/>
        <v>0</v>
      </c>
      <c r="L216" s="121">
        <f t="shared" si="98"/>
        <v>0</v>
      </c>
      <c r="M216" s="129">
        <f t="shared" ref="M216:M230" si="99">L216/F216</f>
        <v>0</v>
      </c>
      <c r="N216" s="179">
        <f t="shared" si="94"/>
        <v>1</v>
      </c>
    </row>
    <row r="217" spans="1:14" s="141" customFormat="1" x14ac:dyDescent="0.25">
      <c r="A217" s="130" t="s">
        <v>787</v>
      </c>
      <c r="B217" s="309" t="s">
        <v>377</v>
      </c>
      <c r="C217" s="310" t="s">
        <v>365</v>
      </c>
      <c r="D217" s="324">
        <v>1</v>
      </c>
      <c r="E217" s="324">
        <v>105.88</v>
      </c>
      <c r="F217" s="324">
        <v>105.88</v>
      </c>
      <c r="G217" s="124">
        <v>0</v>
      </c>
      <c r="H217" s="124">
        <v>0</v>
      </c>
      <c r="I217" s="121">
        <f t="shared" si="95"/>
        <v>0</v>
      </c>
      <c r="J217" s="124">
        <f t="shared" si="96"/>
        <v>0</v>
      </c>
      <c r="K217" s="124">
        <f t="shared" si="97"/>
        <v>0</v>
      </c>
      <c r="L217" s="121">
        <f t="shared" si="98"/>
        <v>0</v>
      </c>
      <c r="M217" s="129">
        <f t="shared" si="99"/>
        <v>0</v>
      </c>
      <c r="N217" s="179">
        <f t="shared" si="94"/>
        <v>1</v>
      </c>
    </row>
    <row r="218" spans="1:14" s="141" customFormat="1" ht="26.4" x14ac:dyDescent="0.25">
      <c r="A218" s="130" t="s">
        <v>788</v>
      </c>
      <c r="B218" s="309" t="s">
        <v>379</v>
      </c>
      <c r="C218" s="310" t="s">
        <v>31</v>
      </c>
      <c r="D218" s="324">
        <v>5</v>
      </c>
      <c r="E218" s="324">
        <v>106.67</v>
      </c>
      <c r="F218" s="327">
        <v>533.35</v>
      </c>
      <c r="G218" s="124">
        <v>0</v>
      </c>
      <c r="H218" s="124">
        <v>0</v>
      </c>
      <c r="I218" s="121">
        <f t="shared" si="95"/>
        <v>0</v>
      </c>
      <c r="J218" s="124">
        <f t="shared" si="96"/>
        <v>0</v>
      </c>
      <c r="K218" s="124">
        <f t="shared" si="97"/>
        <v>0</v>
      </c>
      <c r="L218" s="121">
        <f t="shared" si="98"/>
        <v>0</v>
      </c>
      <c r="M218" s="129">
        <f t="shared" si="99"/>
        <v>0</v>
      </c>
      <c r="N218" s="179">
        <f t="shared" si="94"/>
        <v>5</v>
      </c>
    </row>
    <row r="219" spans="1:14" s="141" customFormat="1" ht="47.25" customHeight="1" x14ac:dyDescent="0.25">
      <c r="A219" s="143">
        <v>15</v>
      </c>
      <c r="B219" s="319" t="s">
        <v>381</v>
      </c>
      <c r="C219" s="144"/>
      <c r="D219" s="340"/>
      <c r="E219" s="340"/>
      <c r="F219" s="346">
        <f>SUM(F220:F230)</f>
        <v>3188.84</v>
      </c>
      <c r="G219" s="145"/>
      <c r="H219" s="145"/>
      <c r="I219" s="145"/>
      <c r="J219" s="146">
        <f>SUM(J220:J230)</f>
        <v>0</v>
      </c>
      <c r="K219" s="146">
        <f>SUM(K220:K230)</f>
        <v>0</v>
      </c>
      <c r="L219" s="146"/>
      <c r="M219" s="314">
        <f>L219/F219</f>
        <v>0</v>
      </c>
    </row>
    <row r="220" spans="1:14" s="141" customFormat="1" ht="39.6" x14ac:dyDescent="0.25">
      <c r="A220" s="130" t="s">
        <v>789</v>
      </c>
      <c r="B220" s="309" t="s">
        <v>383</v>
      </c>
      <c r="C220" s="310" t="s">
        <v>50</v>
      </c>
      <c r="D220" s="324">
        <v>0.8</v>
      </c>
      <c r="E220" s="324">
        <v>395.49</v>
      </c>
      <c r="F220" s="324">
        <v>316.39</v>
      </c>
      <c r="G220" s="124">
        <v>0</v>
      </c>
      <c r="H220" s="124">
        <v>0</v>
      </c>
      <c r="I220" s="121">
        <f t="shared" ref="I220:I230" si="100">G220+H220</f>
        <v>0</v>
      </c>
      <c r="J220" s="124">
        <f t="shared" ref="J220:J230" si="101">TRUNC(E220*G220,2)</f>
        <v>0</v>
      </c>
      <c r="K220" s="124">
        <f t="shared" ref="K220:K230" si="102">TRUNC(E220*H220,2)</f>
        <v>0</v>
      </c>
      <c r="L220" s="121">
        <f t="shared" ref="L220:L230" si="103">J220+K220</f>
        <v>0</v>
      </c>
      <c r="M220" s="129">
        <f t="shared" si="99"/>
        <v>0</v>
      </c>
      <c r="N220" s="179">
        <f t="shared" ref="N220:N230" si="104">D220-I220</f>
        <v>0.8</v>
      </c>
    </row>
    <row r="221" spans="1:14" s="141" customFormat="1" ht="39.6" x14ac:dyDescent="0.25">
      <c r="A221" s="130" t="s">
        <v>790</v>
      </c>
      <c r="B221" s="309" t="s">
        <v>385</v>
      </c>
      <c r="C221" s="310" t="s">
        <v>24</v>
      </c>
      <c r="D221" s="324">
        <v>0.16</v>
      </c>
      <c r="E221" s="324">
        <v>817.23</v>
      </c>
      <c r="F221" s="324">
        <v>130.75</v>
      </c>
      <c r="G221" s="124">
        <v>0</v>
      </c>
      <c r="H221" s="124">
        <v>0</v>
      </c>
      <c r="I221" s="121">
        <f t="shared" si="100"/>
        <v>0</v>
      </c>
      <c r="J221" s="124">
        <f t="shared" si="101"/>
        <v>0</v>
      </c>
      <c r="K221" s="124">
        <f t="shared" si="102"/>
        <v>0</v>
      </c>
      <c r="L221" s="121">
        <f t="shared" si="103"/>
        <v>0</v>
      </c>
      <c r="M221" s="129">
        <f t="shared" si="99"/>
        <v>0</v>
      </c>
      <c r="N221" s="179">
        <f t="shared" si="104"/>
        <v>0.16</v>
      </c>
    </row>
    <row r="222" spans="1:14" s="141" customFormat="1" ht="52.8" x14ac:dyDescent="0.25">
      <c r="A222" s="130" t="s">
        <v>791</v>
      </c>
      <c r="B222" s="309" t="s">
        <v>387</v>
      </c>
      <c r="C222" s="310" t="s">
        <v>116</v>
      </c>
      <c r="D222" s="324">
        <v>7.2</v>
      </c>
      <c r="E222" s="324">
        <v>35.03</v>
      </c>
      <c r="F222" s="324">
        <v>252.21</v>
      </c>
      <c r="G222" s="124">
        <v>0</v>
      </c>
      <c r="H222" s="124">
        <v>0</v>
      </c>
      <c r="I222" s="121">
        <f t="shared" si="100"/>
        <v>0</v>
      </c>
      <c r="J222" s="124">
        <f t="shared" si="101"/>
        <v>0</v>
      </c>
      <c r="K222" s="124">
        <f t="shared" si="102"/>
        <v>0</v>
      </c>
      <c r="L222" s="121">
        <f t="shared" si="103"/>
        <v>0</v>
      </c>
      <c r="M222" s="129">
        <f t="shared" si="99"/>
        <v>0</v>
      </c>
      <c r="N222" s="179">
        <f t="shared" si="104"/>
        <v>7.2</v>
      </c>
    </row>
    <row r="223" spans="1:14" s="141" customFormat="1" ht="39.6" x14ac:dyDescent="0.25">
      <c r="A223" s="130" t="s">
        <v>792</v>
      </c>
      <c r="B223" s="309" t="s">
        <v>389</v>
      </c>
      <c r="C223" s="310" t="s">
        <v>31</v>
      </c>
      <c r="D223" s="324">
        <v>2</v>
      </c>
      <c r="E223" s="324">
        <v>12.3</v>
      </c>
      <c r="F223" s="324">
        <v>24.6</v>
      </c>
      <c r="G223" s="124">
        <v>0</v>
      </c>
      <c r="H223" s="124">
        <v>0</v>
      </c>
      <c r="I223" s="121">
        <f t="shared" si="100"/>
        <v>0</v>
      </c>
      <c r="J223" s="124">
        <f t="shared" si="101"/>
        <v>0</v>
      </c>
      <c r="K223" s="124">
        <f t="shared" si="102"/>
        <v>0</v>
      </c>
      <c r="L223" s="121">
        <f t="shared" si="103"/>
        <v>0</v>
      </c>
      <c r="M223" s="129">
        <f t="shared" si="99"/>
        <v>0</v>
      </c>
      <c r="N223" s="179">
        <f t="shared" si="104"/>
        <v>2</v>
      </c>
    </row>
    <row r="224" spans="1:14" s="141" customFormat="1" x14ac:dyDescent="0.25">
      <c r="A224" s="130" t="s">
        <v>793</v>
      </c>
      <c r="B224" s="309" t="s">
        <v>391</v>
      </c>
      <c r="C224" s="310" t="s">
        <v>31</v>
      </c>
      <c r="D224" s="324">
        <v>4</v>
      </c>
      <c r="E224" s="324">
        <v>104.88</v>
      </c>
      <c r="F224" s="324">
        <v>419.52</v>
      </c>
      <c r="G224" s="124">
        <v>0</v>
      </c>
      <c r="H224" s="124">
        <v>0</v>
      </c>
      <c r="I224" s="121">
        <f t="shared" si="100"/>
        <v>0</v>
      </c>
      <c r="J224" s="124">
        <f t="shared" si="101"/>
        <v>0</v>
      </c>
      <c r="K224" s="124">
        <f t="shared" si="102"/>
        <v>0</v>
      </c>
      <c r="L224" s="121">
        <f t="shared" si="103"/>
        <v>0</v>
      </c>
      <c r="M224" s="129">
        <f t="shared" si="99"/>
        <v>0</v>
      </c>
      <c r="N224" s="179">
        <f t="shared" si="104"/>
        <v>4</v>
      </c>
    </row>
    <row r="225" spans="1:14" s="141" customFormat="1" ht="26.4" x14ac:dyDescent="0.25">
      <c r="A225" s="130" t="s">
        <v>794</v>
      </c>
      <c r="B225" s="309" t="s">
        <v>393</v>
      </c>
      <c r="C225" s="310" t="s">
        <v>116</v>
      </c>
      <c r="D225" s="324">
        <v>7.28</v>
      </c>
      <c r="E225" s="324">
        <v>16.850000000000001</v>
      </c>
      <c r="F225" s="324">
        <v>122.66</v>
      </c>
      <c r="G225" s="124">
        <v>0</v>
      </c>
      <c r="H225" s="124">
        <v>0</v>
      </c>
      <c r="I225" s="121">
        <f t="shared" si="100"/>
        <v>0</v>
      </c>
      <c r="J225" s="124">
        <f t="shared" si="101"/>
        <v>0</v>
      </c>
      <c r="K225" s="124">
        <f t="shared" si="102"/>
        <v>0</v>
      </c>
      <c r="L225" s="121">
        <f t="shared" si="103"/>
        <v>0</v>
      </c>
      <c r="M225" s="129">
        <f t="shared" si="99"/>
        <v>0</v>
      </c>
      <c r="N225" s="179">
        <f t="shared" si="104"/>
        <v>7.28</v>
      </c>
    </row>
    <row r="226" spans="1:14" s="141" customFormat="1" ht="26.4" x14ac:dyDescent="0.25">
      <c r="A226" s="130" t="s">
        <v>795</v>
      </c>
      <c r="B226" s="309" t="s">
        <v>395</v>
      </c>
      <c r="C226" s="310" t="s">
        <v>31</v>
      </c>
      <c r="D226" s="324">
        <v>1</v>
      </c>
      <c r="E226" s="324">
        <v>132.91999999999999</v>
      </c>
      <c r="F226" s="324">
        <v>132.91999999999999</v>
      </c>
      <c r="G226" s="124">
        <v>0</v>
      </c>
      <c r="H226" s="124">
        <v>0</v>
      </c>
      <c r="I226" s="121">
        <f t="shared" si="100"/>
        <v>0</v>
      </c>
      <c r="J226" s="124">
        <f t="shared" si="101"/>
        <v>0</v>
      </c>
      <c r="K226" s="124">
        <f t="shared" si="102"/>
        <v>0</v>
      </c>
      <c r="L226" s="121">
        <f t="shared" si="103"/>
        <v>0</v>
      </c>
      <c r="M226" s="129">
        <f t="shared" si="99"/>
        <v>0</v>
      </c>
      <c r="N226" s="179">
        <f t="shared" si="104"/>
        <v>1</v>
      </c>
    </row>
    <row r="227" spans="1:14" s="141" customFormat="1" x14ac:dyDescent="0.25">
      <c r="A227" s="130" t="s">
        <v>796</v>
      </c>
      <c r="B227" s="309" t="s">
        <v>397</v>
      </c>
      <c r="C227" s="310" t="s">
        <v>365</v>
      </c>
      <c r="D227" s="324">
        <v>2</v>
      </c>
      <c r="E227" s="324">
        <v>50.77</v>
      </c>
      <c r="F227" s="324">
        <v>101.54</v>
      </c>
      <c r="G227" s="124">
        <v>0</v>
      </c>
      <c r="H227" s="124">
        <v>0</v>
      </c>
      <c r="I227" s="121">
        <f t="shared" si="100"/>
        <v>0</v>
      </c>
      <c r="J227" s="124">
        <f t="shared" si="101"/>
        <v>0</v>
      </c>
      <c r="K227" s="124">
        <f t="shared" si="102"/>
        <v>0</v>
      </c>
      <c r="L227" s="121">
        <f t="shared" si="103"/>
        <v>0</v>
      </c>
      <c r="M227" s="129">
        <f t="shared" si="99"/>
        <v>0</v>
      </c>
      <c r="N227" s="179">
        <f t="shared" si="104"/>
        <v>2</v>
      </c>
    </row>
    <row r="228" spans="1:14" s="141" customFormat="1" ht="26.4" x14ac:dyDescent="0.25">
      <c r="A228" s="130" t="s">
        <v>797</v>
      </c>
      <c r="B228" s="309" t="s">
        <v>399</v>
      </c>
      <c r="C228" s="310" t="s">
        <v>31</v>
      </c>
      <c r="D228" s="324">
        <v>1</v>
      </c>
      <c r="E228" s="324">
        <v>1511.87</v>
      </c>
      <c r="F228" s="324">
        <v>1511.87</v>
      </c>
      <c r="G228" s="124">
        <v>0</v>
      </c>
      <c r="H228" s="124">
        <v>0</v>
      </c>
      <c r="I228" s="121">
        <f t="shared" si="100"/>
        <v>0</v>
      </c>
      <c r="J228" s="124">
        <f t="shared" si="101"/>
        <v>0</v>
      </c>
      <c r="K228" s="124">
        <f t="shared" si="102"/>
        <v>0</v>
      </c>
      <c r="L228" s="121">
        <f t="shared" si="103"/>
        <v>0</v>
      </c>
      <c r="M228" s="129">
        <f t="shared" si="99"/>
        <v>0</v>
      </c>
      <c r="N228" s="179">
        <f t="shared" si="104"/>
        <v>1</v>
      </c>
    </row>
    <row r="229" spans="1:14" s="141" customFormat="1" ht="26.4" x14ac:dyDescent="0.25">
      <c r="A229" s="130" t="s">
        <v>798</v>
      </c>
      <c r="B229" s="309" t="s">
        <v>401</v>
      </c>
      <c r="C229" s="310" t="s">
        <v>31</v>
      </c>
      <c r="D229" s="324">
        <v>1</v>
      </c>
      <c r="E229" s="324">
        <v>88.19</v>
      </c>
      <c r="F229" s="324">
        <v>88.19</v>
      </c>
      <c r="G229" s="124">
        <v>0</v>
      </c>
      <c r="H229" s="124">
        <v>0</v>
      </c>
      <c r="I229" s="121">
        <f t="shared" si="100"/>
        <v>0</v>
      </c>
      <c r="J229" s="124">
        <f t="shared" si="101"/>
        <v>0</v>
      </c>
      <c r="K229" s="124">
        <f t="shared" si="102"/>
        <v>0</v>
      </c>
      <c r="L229" s="121">
        <f t="shared" si="103"/>
        <v>0</v>
      </c>
      <c r="M229" s="129">
        <f t="shared" si="99"/>
        <v>0</v>
      </c>
      <c r="N229" s="179">
        <f t="shared" si="104"/>
        <v>1</v>
      </c>
    </row>
    <row r="230" spans="1:14" s="141" customFormat="1" ht="26.4" x14ac:dyDescent="0.25">
      <c r="A230" s="130" t="s">
        <v>799</v>
      </c>
      <c r="B230" s="309" t="s">
        <v>403</v>
      </c>
      <c r="C230" s="310" t="s">
        <v>31</v>
      </c>
      <c r="D230" s="324">
        <v>1</v>
      </c>
      <c r="E230" s="324">
        <v>88.19</v>
      </c>
      <c r="F230" s="324">
        <v>88.19</v>
      </c>
      <c r="G230" s="124">
        <v>0</v>
      </c>
      <c r="H230" s="124">
        <v>0</v>
      </c>
      <c r="I230" s="121">
        <f t="shared" si="100"/>
        <v>0</v>
      </c>
      <c r="J230" s="124">
        <f t="shared" si="101"/>
        <v>0</v>
      </c>
      <c r="K230" s="124">
        <f t="shared" si="102"/>
        <v>0</v>
      </c>
      <c r="L230" s="121">
        <f t="shared" si="103"/>
        <v>0</v>
      </c>
      <c r="M230" s="129">
        <f t="shared" si="99"/>
        <v>0</v>
      </c>
      <c r="N230" s="179">
        <f t="shared" si="104"/>
        <v>1</v>
      </c>
    </row>
    <row r="231" spans="1:14" ht="43.5" customHeight="1" x14ac:dyDescent="0.25">
      <c r="A231" s="131">
        <v>16</v>
      </c>
      <c r="B231" s="313" t="s">
        <v>405</v>
      </c>
      <c r="C231" s="132"/>
      <c r="D231" s="333"/>
      <c r="E231" s="333"/>
      <c r="F231" s="334">
        <f>SUM(F232:F235)</f>
        <v>2202.83</v>
      </c>
      <c r="G231" s="128"/>
      <c r="H231" s="128"/>
      <c r="I231" s="128"/>
      <c r="J231" s="117">
        <f>J232+J233+J234+J235</f>
        <v>0</v>
      </c>
      <c r="K231" s="117">
        <f>K232+K233+K234+K235</f>
        <v>0</v>
      </c>
      <c r="L231" s="117"/>
      <c r="M231" s="314">
        <f>L231/F231</f>
        <v>0</v>
      </c>
    </row>
    <row r="232" spans="1:14" s="141" customFormat="1" ht="39.6" x14ac:dyDescent="0.25">
      <c r="A232" s="130" t="s">
        <v>800</v>
      </c>
      <c r="B232" s="309" t="s">
        <v>407</v>
      </c>
      <c r="C232" s="310" t="s">
        <v>31</v>
      </c>
      <c r="D232" s="324">
        <v>5</v>
      </c>
      <c r="E232" s="324">
        <v>289.45</v>
      </c>
      <c r="F232" s="324">
        <v>1447.25</v>
      </c>
      <c r="G232" s="124">
        <v>0</v>
      </c>
      <c r="H232" s="124">
        <v>0</v>
      </c>
      <c r="I232" s="121">
        <f t="shared" ref="I232:I251" si="105">G232+H232</f>
        <v>0</v>
      </c>
      <c r="J232" s="124">
        <f t="shared" ref="J232:J251" si="106">TRUNC(E232*G232,2)</f>
        <v>0</v>
      </c>
      <c r="K232" s="124">
        <f t="shared" ref="K232:K251" si="107">TRUNC(E232*H232,2)</f>
        <v>0</v>
      </c>
      <c r="L232" s="121">
        <f t="shared" ref="L232:L251" si="108">J232+K232</f>
        <v>0</v>
      </c>
      <c r="M232" s="129">
        <f t="shared" ref="M232:M251" si="109">L232/F232</f>
        <v>0</v>
      </c>
      <c r="N232" s="179">
        <f t="shared" ref="N232:N235" si="110">D232-I232</f>
        <v>5</v>
      </c>
    </row>
    <row r="233" spans="1:14" s="141" customFormat="1" ht="26.4" x14ac:dyDescent="0.25">
      <c r="A233" s="130" t="s">
        <v>801</v>
      </c>
      <c r="B233" s="309" t="s">
        <v>409</v>
      </c>
      <c r="C233" s="310" t="s">
        <v>31</v>
      </c>
      <c r="D233" s="324">
        <v>16</v>
      </c>
      <c r="E233" s="324">
        <v>22.69</v>
      </c>
      <c r="F233" s="324">
        <v>363.04</v>
      </c>
      <c r="G233" s="124">
        <v>0</v>
      </c>
      <c r="H233" s="124">
        <v>0</v>
      </c>
      <c r="I233" s="121">
        <f t="shared" si="105"/>
        <v>0</v>
      </c>
      <c r="J233" s="124">
        <f t="shared" si="106"/>
        <v>0</v>
      </c>
      <c r="K233" s="124">
        <f t="shared" si="107"/>
        <v>0</v>
      </c>
      <c r="L233" s="121">
        <f t="shared" si="108"/>
        <v>0</v>
      </c>
      <c r="M233" s="129">
        <f t="shared" si="109"/>
        <v>0</v>
      </c>
      <c r="N233" s="179">
        <f t="shared" si="110"/>
        <v>16</v>
      </c>
    </row>
    <row r="234" spans="1:14" s="141" customFormat="1" ht="26.4" x14ac:dyDescent="0.25">
      <c r="A234" s="130" t="s">
        <v>802</v>
      </c>
      <c r="B234" s="309" t="s">
        <v>411</v>
      </c>
      <c r="C234" s="310" t="s">
        <v>24</v>
      </c>
      <c r="D234" s="324">
        <v>5</v>
      </c>
      <c r="E234" s="324">
        <v>26.26</v>
      </c>
      <c r="F234" s="324">
        <v>131.30000000000001</v>
      </c>
      <c r="G234" s="124">
        <v>0</v>
      </c>
      <c r="H234" s="124">
        <v>0</v>
      </c>
      <c r="I234" s="121">
        <f t="shared" si="105"/>
        <v>0</v>
      </c>
      <c r="J234" s="124">
        <f t="shared" si="106"/>
        <v>0</v>
      </c>
      <c r="K234" s="124">
        <f t="shared" si="107"/>
        <v>0</v>
      </c>
      <c r="L234" s="121">
        <f t="shared" si="108"/>
        <v>0</v>
      </c>
      <c r="M234" s="129">
        <f t="shared" si="109"/>
        <v>0</v>
      </c>
      <c r="N234" s="179">
        <f t="shared" si="110"/>
        <v>5</v>
      </c>
    </row>
    <row r="235" spans="1:14" s="141" customFormat="1" x14ac:dyDescent="0.25">
      <c r="A235" s="130" t="s">
        <v>803</v>
      </c>
      <c r="B235" s="309" t="s">
        <v>413</v>
      </c>
      <c r="C235" s="310" t="s">
        <v>365</v>
      </c>
      <c r="D235" s="324">
        <v>21</v>
      </c>
      <c r="E235" s="324">
        <v>12.44</v>
      </c>
      <c r="F235" s="327">
        <v>261.24</v>
      </c>
      <c r="G235" s="124">
        <v>0</v>
      </c>
      <c r="H235" s="124">
        <v>0</v>
      </c>
      <c r="I235" s="121">
        <f t="shared" si="105"/>
        <v>0</v>
      </c>
      <c r="J235" s="124">
        <f t="shared" si="106"/>
        <v>0</v>
      </c>
      <c r="K235" s="124">
        <f t="shared" si="107"/>
        <v>0</v>
      </c>
      <c r="L235" s="121">
        <f t="shared" si="108"/>
        <v>0</v>
      </c>
      <c r="M235" s="129">
        <f t="shared" si="109"/>
        <v>0</v>
      </c>
      <c r="N235" s="179">
        <f t="shared" si="110"/>
        <v>21</v>
      </c>
    </row>
    <row r="236" spans="1:14" s="141" customFormat="1" ht="26.25" customHeight="1" x14ac:dyDescent="0.25">
      <c r="A236" s="143">
        <v>17</v>
      </c>
      <c r="B236" s="319" t="s">
        <v>415</v>
      </c>
      <c r="C236" s="149"/>
      <c r="D236" s="349"/>
      <c r="E236" s="349"/>
      <c r="F236" s="350">
        <f>F237+F252+F266+F275</f>
        <v>60978.92</v>
      </c>
      <c r="G236" s="150"/>
      <c r="H236" s="150"/>
      <c r="I236" s="150"/>
      <c r="J236" s="150"/>
      <c r="K236" s="150"/>
      <c r="L236" s="150"/>
      <c r="M236" s="314">
        <f>L236/F236</f>
        <v>0</v>
      </c>
    </row>
    <row r="237" spans="1:14" s="141" customFormat="1" ht="32.25" customHeight="1" x14ac:dyDescent="0.25">
      <c r="A237" s="133" t="s">
        <v>935</v>
      </c>
      <c r="B237" s="317" t="s">
        <v>417</v>
      </c>
      <c r="C237" s="142"/>
      <c r="D237" s="347"/>
      <c r="E237" s="347"/>
      <c r="F237" s="348">
        <f>SUM(F238:F251)</f>
        <v>4457.68</v>
      </c>
      <c r="G237" s="137"/>
      <c r="H237" s="137"/>
      <c r="I237" s="137"/>
      <c r="J237" s="137">
        <f>SUM(J238:J251)</f>
        <v>0</v>
      </c>
      <c r="K237" s="137">
        <f>SUM(K238:K251)</f>
        <v>0</v>
      </c>
      <c r="L237" s="137"/>
      <c r="M237" s="139">
        <f>L237/F237</f>
        <v>0</v>
      </c>
    </row>
    <row r="238" spans="1:14" s="141" customFormat="1" ht="52.8" x14ac:dyDescent="0.25">
      <c r="A238" s="130" t="s">
        <v>804</v>
      </c>
      <c r="B238" s="309" t="s">
        <v>419</v>
      </c>
      <c r="C238" s="310" t="s">
        <v>31</v>
      </c>
      <c r="D238" s="324">
        <v>2</v>
      </c>
      <c r="E238" s="324">
        <v>324.69</v>
      </c>
      <c r="F238" s="324">
        <v>649.38</v>
      </c>
      <c r="G238" s="124">
        <v>0</v>
      </c>
      <c r="H238" s="124">
        <v>0</v>
      </c>
      <c r="I238" s="121">
        <f t="shared" si="105"/>
        <v>0</v>
      </c>
      <c r="J238" s="124">
        <f t="shared" si="106"/>
        <v>0</v>
      </c>
      <c r="K238" s="124">
        <f t="shared" si="107"/>
        <v>0</v>
      </c>
      <c r="L238" s="121">
        <f t="shared" si="108"/>
        <v>0</v>
      </c>
      <c r="M238" s="129">
        <f t="shared" si="109"/>
        <v>0</v>
      </c>
      <c r="N238" s="179">
        <f t="shared" ref="N238:N251" si="111">D238-I238</f>
        <v>2</v>
      </c>
    </row>
    <row r="239" spans="1:14" s="141" customFormat="1" ht="52.8" x14ac:dyDescent="0.25">
      <c r="A239" s="130" t="s">
        <v>805</v>
      </c>
      <c r="B239" s="309" t="s">
        <v>421</v>
      </c>
      <c r="C239" s="310" t="s">
        <v>31</v>
      </c>
      <c r="D239" s="324">
        <v>1</v>
      </c>
      <c r="E239" s="324">
        <v>447.68</v>
      </c>
      <c r="F239" s="324">
        <v>447.68</v>
      </c>
      <c r="G239" s="124">
        <v>0</v>
      </c>
      <c r="H239" s="124">
        <v>0</v>
      </c>
      <c r="I239" s="121">
        <f t="shared" si="105"/>
        <v>0</v>
      </c>
      <c r="J239" s="124">
        <f t="shared" si="106"/>
        <v>0</v>
      </c>
      <c r="K239" s="124">
        <f t="shared" si="107"/>
        <v>0</v>
      </c>
      <c r="L239" s="121">
        <f t="shared" si="108"/>
        <v>0</v>
      </c>
      <c r="M239" s="129">
        <f t="shared" si="109"/>
        <v>0</v>
      </c>
      <c r="N239" s="179">
        <f t="shared" si="111"/>
        <v>1</v>
      </c>
    </row>
    <row r="240" spans="1:14" s="141" customFormat="1" ht="52.8" x14ac:dyDescent="0.25">
      <c r="A240" s="130" t="s">
        <v>806</v>
      </c>
      <c r="B240" s="309" t="s">
        <v>423</v>
      </c>
      <c r="C240" s="310" t="s">
        <v>31</v>
      </c>
      <c r="D240" s="324">
        <v>1</v>
      </c>
      <c r="E240" s="324">
        <v>89.08</v>
      </c>
      <c r="F240" s="324">
        <v>89.08</v>
      </c>
      <c r="G240" s="124">
        <v>0</v>
      </c>
      <c r="H240" s="124">
        <v>0</v>
      </c>
      <c r="I240" s="121">
        <f t="shared" si="105"/>
        <v>0</v>
      </c>
      <c r="J240" s="124">
        <f t="shared" si="106"/>
        <v>0</v>
      </c>
      <c r="K240" s="124">
        <f t="shared" si="107"/>
        <v>0</v>
      </c>
      <c r="L240" s="121">
        <f t="shared" si="108"/>
        <v>0</v>
      </c>
      <c r="M240" s="129">
        <f t="shared" si="109"/>
        <v>0</v>
      </c>
      <c r="N240" s="179">
        <f t="shared" si="111"/>
        <v>1</v>
      </c>
    </row>
    <row r="241" spans="1:14" s="141" customFormat="1" x14ac:dyDescent="0.25">
      <c r="A241" s="130" t="s">
        <v>807</v>
      </c>
      <c r="B241" s="309" t="s">
        <v>425</v>
      </c>
      <c r="C241" s="310" t="s">
        <v>31</v>
      </c>
      <c r="D241" s="324">
        <v>1</v>
      </c>
      <c r="E241" s="324">
        <v>89.04</v>
      </c>
      <c r="F241" s="324">
        <v>89.04</v>
      </c>
      <c r="G241" s="124">
        <v>0</v>
      </c>
      <c r="H241" s="124">
        <v>0</v>
      </c>
      <c r="I241" s="121">
        <f t="shared" si="105"/>
        <v>0</v>
      </c>
      <c r="J241" s="124">
        <f t="shared" si="106"/>
        <v>0</v>
      </c>
      <c r="K241" s="124">
        <f t="shared" si="107"/>
        <v>0</v>
      </c>
      <c r="L241" s="121">
        <f t="shared" si="108"/>
        <v>0</v>
      </c>
      <c r="M241" s="129">
        <f t="shared" si="109"/>
        <v>0</v>
      </c>
      <c r="N241" s="179">
        <f t="shared" si="111"/>
        <v>1</v>
      </c>
    </row>
    <row r="242" spans="1:14" s="141" customFormat="1" ht="39.6" x14ac:dyDescent="0.25">
      <c r="A242" s="130" t="s">
        <v>808</v>
      </c>
      <c r="B242" s="309" t="s">
        <v>427</v>
      </c>
      <c r="C242" s="310" t="s">
        <v>365</v>
      </c>
      <c r="D242" s="324">
        <v>6</v>
      </c>
      <c r="E242" s="324">
        <v>16.649999999999999</v>
      </c>
      <c r="F242" s="324">
        <v>99.9</v>
      </c>
      <c r="G242" s="124">
        <v>0</v>
      </c>
      <c r="H242" s="124">
        <v>0</v>
      </c>
      <c r="I242" s="121">
        <f t="shared" si="105"/>
        <v>0</v>
      </c>
      <c r="J242" s="124">
        <f t="shared" si="106"/>
        <v>0</v>
      </c>
      <c r="K242" s="124">
        <f t="shared" si="107"/>
        <v>0</v>
      </c>
      <c r="L242" s="121">
        <f t="shared" si="108"/>
        <v>0</v>
      </c>
      <c r="M242" s="129">
        <f t="shared" si="109"/>
        <v>0</v>
      </c>
      <c r="N242" s="179">
        <f t="shared" si="111"/>
        <v>6</v>
      </c>
    </row>
    <row r="243" spans="1:14" s="141" customFormat="1" ht="39.6" x14ac:dyDescent="0.25">
      <c r="A243" s="130" t="s">
        <v>809</v>
      </c>
      <c r="B243" s="309" t="s">
        <v>429</v>
      </c>
      <c r="C243" s="310" t="s">
        <v>365</v>
      </c>
      <c r="D243" s="324">
        <v>1</v>
      </c>
      <c r="E243" s="324">
        <v>17.920000000000002</v>
      </c>
      <c r="F243" s="324">
        <v>17.920000000000002</v>
      </c>
      <c r="G243" s="124">
        <v>0</v>
      </c>
      <c r="H243" s="124">
        <v>0</v>
      </c>
      <c r="I243" s="121">
        <f t="shared" si="105"/>
        <v>0</v>
      </c>
      <c r="J243" s="124">
        <f t="shared" si="106"/>
        <v>0</v>
      </c>
      <c r="K243" s="124">
        <f t="shared" si="107"/>
        <v>0</v>
      </c>
      <c r="L243" s="121">
        <f t="shared" si="108"/>
        <v>0</v>
      </c>
      <c r="M243" s="129">
        <f t="shared" si="109"/>
        <v>0</v>
      </c>
      <c r="N243" s="179">
        <f t="shared" si="111"/>
        <v>1</v>
      </c>
    </row>
    <row r="244" spans="1:14" s="141" customFormat="1" ht="26.4" x14ac:dyDescent="0.25">
      <c r="A244" s="130" t="s">
        <v>810</v>
      </c>
      <c r="B244" s="309" t="s">
        <v>431</v>
      </c>
      <c r="C244" s="310" t="s">
        <v>365</v>
      </c>
      <c r="D244" s="324">
        <v>2</v>
      </c>
      <c r="E244" s="324">
        <v>19.440000000000001</v>
      </c>
      <c r="F244" s="324">
        <v>38.880000000000003</v>
      </c>
      <c r="G244" s="124">
        <v>0</v>
      </c>
      <c r="H244" s="124">
        <v>0</v>
      </c>
      <c r="I244" s="121">
        <f t="shared" si="105"/>
        <v>0</v>
      </c>
      <c r="J244" s="124">
        <f t="shared" si="106"/>
        <v>0</v>
      </c>
      <c r="K244" s="124">
        <f t="shared" si="107"/>
        <v>0</v>
      </c>
      <c r="L244" s="121">
        <f t="shared" si="108"/>
        <v>0</v>
      </c>
      <c r="M244" s="129">
        <f t="shared" si="109"/>
        <v>0</v>
      </c>
      <c r="N244" s="179">
        <f t="shared" si="111"/>
        <v>2</v>
      </c>
    </row>
    <row r="245" spans="1:14" s="141" customFormat="1" ht="26.4" x14ac:dyDescent="0.25">
      <c r="A245" s="130" t="s">
        <v>811</v>
      </c>
      <c r="B245" s="309" t="s">
        <v>433</v>
      </c>
      <c r="C245" s="310" t="s">
        <v>31</v>
      </c>
      <c r="D245" s="324">
        <v>4</v>
      </c>
      <c r="E245" s="324">
        <v>103.87</v>
      </c>
      <c r="F245" s="324">
        <v>415.48</v>
      </c>
      <c r="G245" s="124">
        <v>0</v>
      </c>
      <c r="H245" s="124">
        <v>0</v>
      </c>
      <c r="I245" s="121">
        <f t="shared" si="105"/>
        <v>0</v>
      </c>
      <c r="J245" s="124">
        <f t="shared" si="106"/>
        <v>0</v>
      </c>
      <c r="K245" s="124">
        <f t="shared" si="107"/>
        <v>0</v>
      </c>
      <c r="L245" s="121">
        <f t="shared" si="108"/>
        <v>0</v>
      </c>
      <c r="M245" s="129">
        <f t="shared" si="109"/>
        <v>0</v>
      </c>
      <c r="N245" s="179">
        <f t="shared" si="111"/>
        <v>4</v>
      </c>
    </row>
    <row r="246" spans="1:14" s="141" customFormat="1" x14ac:dyDescent="0.25">
      <c r="A246" s="130" t="s">
        <v>812</v>
      </c>
      <c r="B246" s="309" t="s">
        <v>435</v>
      </c>
      <c r="C246" s="310" t="s">
        <v>365</v>
      </c>
      <c r="D246" s="324">
        <v>23</v>
      </c>
      <c r="E246" s="324">
        <v>45.54</v>
      </c>
      <c r="F246" s="324">
        <v>1047.42</v>
      </c>
      <c r="G246" s="124">
        <v>0</v>
      </c>
      <c r="H246" s="124">
        <v>0</v>
      </c>
      <c r="I246" s="121">
        <f t="shared" si="105"/>
        <v>0</v>
      </c>
      <c r="J246" s="124">
        <f t="shared" si="106"/>
        <v>0</v>
      </c>
      <c r="K246" s="124">
        <f t="shared" si="107"/>
        <v>0</v>
      </c>
      <c r="L246" s="121">
        <f t="shared" si="108"/>
        <v>0</v>
      </c>
      <c r="M246" s="129">
        <f t="shared" si="109"/>
        <v>0</v>
      </c>
      <c r="N246" s="179">
        <f t="shared" si="111"/>
        <v>23</v>
      </c>
    </row>
    <row r="247" spans="1:14" s="141" customFormat="1" x14ac:dyDescent="0.25">
      <c r="A247" s="130" t="s">
        <v>813</v>
      </c>
      <c r="B247" s="309" t="s">
        <v>437</v>
      </c>
      <c r="C247" s="310" t="s">
        <v>365</v>
      </c>
      <c r="D247" s="324">
        <v>5</v>
      </c>
      <c r="E247" s="324">
        <v>66.47</v>
      </c>
      <c r="F247" s="324">
        <v>332.35</v>
      </c>
      <c r="G247" s="124">
        <v>0</v>
      </c>
      <c r="H247" s="124">
        <v>0</v>
      </c>
      <c r="I247" s="121">
        <f t="shared" si="105"/>
        <v>0</v>
      </c>
      <c r="J247" s="124">
        <f t="shared" si="106"/>
        <v>0</v>
      </c>
      <c r="K247" s="124">
        <f t="shared" si="107"/>
        <v>0</v>
      </c>
      <c r="L247" s="121">
        <f t="shared" si="108"/>
        <v>0</v>
      </c>
      <c r="M247" s="129">
        <f t="shared" si="109"/>
        <v>0</v>
      </c>
      <c r="N247" s="179">
        <f t="shared" si="111"/>
        <v>5</v>
      </c>
    </row>
    <row r="248" spans="1:14" s="141" customFormat="1" x14ac:dyDescent="0.25">
      <c r="A248" s="130" t="s">
        <v>814</v>
      </c>
      <c r="B248" s="309" t="s">
        <v>435</v>
      </c>
      <c r="C248" s="310" t="s">
        <v>365</v>
      </c>
      <c r="D248" s="324">
        <v>11</v>
      </c>
      <c r="E248" s="324">
        <v>45.54</v>
      </c>
      <c r="F248" s="324">
        <v>500.94</v>
      </c>
      <c r="G248" s="124">
        <v>0</v>
      </c>
      <c r="H248" s="124">
        <v>0</v>
      </c>
      <c r="I248" s="121">
        <f t="shared" si="105"/>
        <v>0</v>
      </c>
      <c r="J248" s="124">
        <f t="shared" si="106"/>
        <v>0</v>
      </c>
      <c r="K248" s="124">
        <f t="shared" si="107"/>
        <v>0</v>
      </c>
      <c r="L248" s="121">
        <f t="shared" si="108"/>
        <v>0</v>
      </c>
      <c r="M248" s="129">
        <f t="shared" si="109"/>
        <v>0</v>
      </c>
      <c r="N248" s="179">
        <f t="shared" si="111"/>
        <v>11</v>
      </c>
    </row>
    <row r="249" spans="1:14" s="141" customFormat="1" x14ac:dyDescent="0.25">
      <c r="A249" s="130" t="s">
        <v>815</v>
      </c>
      <c r="B249" s="309" t="s">
        <v>437</v>
      </c>
      <c r="C249" s="310" t="s">
        <v>365</v>
      </c>
      <c r="D249" s="324">
        <v>2</v>
      </c>
      <c r="E249" s="324">
        <v>66.47</v>
      </c>
      <c r="F249" s="324">
        <v>132.94</v>
      </c>
      <c r="G249" s="124">
        <v>0</v>
      </c>
      <c r="H249" s="124">
        <v>0</v>
      </c>
      <c r="I249" s="121">
        <f t="shared" si="105"/>
        <v>0</v>
      </c>
      <c r="J249" s="124">
        <f t="shared" si="106"/>
        <v>0</v>
      </c>
      <c r="K249" s="124">
        <f t="shared" si="107"/>
        <v>0</v>
      </c>
      <c r="L249" s="121">
        <f t="shared" si="108"/>
        <v>0</v>
      </c>
      <c r="M249" s="129">
        <f t="shared" si="109"/>
        <v>0</v>
      </c>
      <c r="N249" s="179">
        <f t="shared" si="111"/>
        <v>2</v>
      </c>
    </row>
    <row r="250" spans="1:14" s="141" customFormat="1" ht="26.4" x14ac:dyDescent="0.25">
      <c r="A250" s="130" t="s">
        <v>816</v>
      </c>
      <c r="B250" s="309" t="s">
        <v>439</v>
      </c>
      <c r="C250" s="310" t="s">
        <v>365</v>
      </c>
      <c r="D250" s="324">
        <v>1</v>
      </c>
      <c r="E250" s="324">
        <v>69.959999999999994</v>
      </c>
      <c r="F250" s="324">
        <v>69.959999999999994</v>
      </c>
      <c r="G250" s="124">
        <v>0</v>
      </c>
      <c r="H250" s="124">
        <v>0</v>
      </c>
      <c r="I250" s="121">
        <f t="shared" si="105"/>
        <v>0</v>
      </c>
      <c r="J250" s="124">
        <f t="shared" si="106"/>
        <v>0</v>
      </c>
      <c r="K250" s="124">
        <f t="shared" si="107"/>
        <v>0</v>
      </c>
      <c r="L250" s="121">
        <f t="shared" si="108"/>
        <v>0</v>
      </c>
      <c r="M250" s="129">
        <f t="shared" si="109"/>
        <v>0</v>
      </c>
      <c r="N250" s="179">
        <f t="shared" si="111"/>
        <v>1</v>
      </c>
    </row>
    <row r="251" spans="1:14" s="141" customFormat="1" ht="39.6" x14ac:dyDescent="0.25">
      <c r="A251" s="130" t="s">
        <v>817</v>
      </c>
      <c r="B251" s="309" t="s">
        <v>441</v>
      </c>
      <c r="C251" s="310" t="s">
        <v>31</v>
      </c>
      <c r="D251" s="324">
        <v>1</v>
      </c>
      <c r="E251" s="324">
        <v>526.71</v>
      </c>
      <c r="F251" s="324">
        <v>526.71</v>
      </c>
      <c r="G251" s="124">
        <v>0</v>
      </c>
      <c r="H251" s="124">
        <v>0</v>
      </c>
      <c r="I251" s="121">
        <f t="shared" si="105"/>
        <v>0</v>
      </c>
      <c r="J251" s="124">
        <f t="shared" si="106"/>
        <v>0</v>
      </c>
      <c r="K251" s="124">
        <f t="shared" si="107"/>
        <v>0</v>
      </c>
      <c r="L251" s="121">
        <f t="shared" si="108"/>
        <v>0</v>
      </c>
      <c r="M251" s="129">
        <f t="shared" si="109"/>
        <v>0</v>
      </c>
      <c r="N251" s="179">
        <f t="shared" si="111"/>
        <v>1</v>
      </c>
    </row>
    <row r="252" spans="1:14" ht="49.5" customHeight="1" x14ac:dyDescent="0.25">
      <c r="A252" s="133" t="s">
        <v>936</v>
      </c>
      <c r="B252" s="317" t="s">
        <v>443</v>
      </c>
      <c r="C252" s="134"/>
      <c r="D252" s="335"/>
      <c r="E252" s="335"/>
      <c r="F252" s="342">
        <f>SUM(F253:F265)</f>
        <v>20395.739999999998</v>
      </c>
      <c r="G252" s="136"/>
      <c r="H252" s="136"/>
      <c r="I252" s="136"/>
      <c r="J252" s="138">
        <f>SUM(J253:J265)</f>
        <v>0</v>
      </c>
      <c r="K252" s="138">
        <f>SUM(K253:K265)</f>
        <v>0</v>
      </c>
      <c r="L252" s="138"/>
      <c r="M252" s="139">
        <f>L252/F252</f>
        <v>0</v>
      </c>
    </row>
    <row r="253" spans="1:14" s="141" customFormat="1" ht="39.6" x14ac:dyDescent="0.25">
      <c r="A253" s="130" t="s">
        <v>818</v>
      </c>
      <c r="B253" s="309" t="s">
        <v>445</v>
      </c>
      <c r="C253" s="310" t="s">
        <v>116</v>
      </c>
      <c r="D253" s="324">
        <v>593.29999999999995</v>
      </c>
      <c r="E253" s="324">
        <v>7.82</v>
      </c>
      <c r="F253" s="324">
        <v>4639.6000000000004</v>
      </c>
      <c r="G253" s="124">
        <v>0</v>
      </c>
      <c r="H253" s="124">
        <v>0</v>
      </c>
      <c r="I253" s="121">
        <f t="shared" ref="I253:I265" si="112">G253+H253</f>
        <v>0</v>
      </c>
      <c r="J253" s="124">
        <f t="shared" ref="J253:J265" si="113">TRUNC(E253*G253,2)</f>
        <v>0</v>
      </c>
      <c r="K253" s="124">
        <f t="shared" ref="K253:K265" si="114">TRUNC(E253*H253,2)</f>
        <v>0</v>
      </c>
      <c r="L253" s="121">
        <f t="shared" ref="L253:L265" si="115">J253+K253</f>
        <v>0</v>
      </c>
      <c r="M253" s="129">
        <f t="shared" ref="M253:M265" si="116">L253/F253</f>
        <v>0</v>
      </c>
      <c r="N253" s="179">
        <f t="shared" ref="N253:N265" si="117">D253-I253</f>
        <v>593.29999999999995</v>
      </c>
    </row>
    <row r="254" spans="1:14" s="141" customFormat="1" ht="39.6" x14ac:dyDescent="0.25">
      <c r="A254" s="130" t="s">
        <v>819</v>
      </c>
      <c r="B254" s="309" t="s">
        <v>447</v>
      </c>
      <c r="C254" s="310" t="s">
        <v>116</v>
      </c>
      <c r="D254" s="324">
        <v>199.5</v>
      </c>
      <c r="E254" s="324">
        <v>10.14</v>
      </c>
      <c r="F254" s="324">
        <v>2022.93</v>
      </c>
      <c r="G254" s="124">
        <v>0</v>
      </c>
      <c r="H254" s="124">
        <v>0</v>
      </c>
      <c r="I254" s="121">
        <f t="shared" si="112"/>
        <v>0</v>
      </c>
      <c r="J254" s="124">
        <f t="shared" si="113"/>
        <v>0</v>
      </c>
      <c r="K254" s="124">
        <f t="shared" si="114"/>
        <v>0</v>
      </c>
      <c r="L254" s="121">
        <f t="shared" si="115"/>
        <v>0</v>
      </c>
      <c r="M254" s="129">
        <f t="shared" si="116"/>
        <v>0</v>
      </c>
      <c r="N254" s="179">
        <f t="shared" si="117"/>
        <v>199.5</v>
      </c>
    </row>
    <row r="255" spans="1:14" s="141" customFormat="1" ht="39.6" x14ac:dyDescent="0.25">
      <c r="A255" s="130" t="s">
        <v>820</v>
      </c>
      <c r="B255" s="309" t="s">
        <v>449</v>
      </c>
      <c r="C255" s="310" t="s">
        <v>116</v>
      </c>
      <c r="D255" s="324">
        <v>159.5</v>
      </c>
      <c r="E255" s="324">
        <v>15.88</v>
      </c>
      <c r="F255" s="324">
        <v>2532.86</v>
      </c>
      <c r="G255" s="124">
        <v>0</v>
      </c>
      <c r="H255" s="124">
        <v>0</v>
      </c>
      <c r="I255" s="121">
        <f t="shared" si="112"/>
        <v>0</v>
      </c>
      <c r="J255" s="124">
        <f t="shared" si="113"/>
        <v>0</v>
      </c>
      <c r="K255" s="124">
        <f t="shared" si="114"/>
        <v>0</v>
      </c>
      <c r="L255" s="121">
        <f t="shared" si="115"/>
        <v>0</v>
      </c>
      <c r="M255" s="129">
        <f t="shared" si="116"/>
        <v>0</v>
      </c>
      <c r="N255" s="179">
        <f t="shared" si="117"/>
        <v>159.5</v>
      </c>
    </row>
    <row r="256" spans="1:14" s="141" customFormat="1" ht="39.6" x14ac:dyDescent="0.25">
      <c r="A256" s="130" t="s">
        <v>821</v>
      </c>
      <c r="B256" s="309" t="s">
        <v>451</v>
      </c>
      <c r="C256" s="310" t="s">
        <v>116</v>
      </c>
      <c r="D256" s="324">
        <v>102.4</v>
      </c>
      <c r="E256" s="324">
        <v>23.73</v>
      </c>
      <c r="F256" s="324">
        <v>2429.9499999999998</v>
      </c>
      <c r="G256" s="124">
        <v>0</v>
      </c>
      <c r="H256" s="124">
        <v>0</v>
      </c>
      <c r="I256" s="121">
        <f t="shared" si="112"/>
        <v>0</v>
      </c>
      <c r="J256" s="124">
        <f t="shared" si="113"/>
        <v>0</v>
      </c>
      <c r="K256" s="124">
        <f t="shared" si="114"/>
        <v>0</v>
      </c>
      <c r="L256" s="121">
        <f t="shared" si="115"/>
        <v>0</v>
      </c>
      <c r="M256" s="129">
        <f t="shared" si="116"/>
        <v>0</v>
      </c>
      <c r="N256" s="179">
        <f t="shared" si="117"/>
        <v>102.4</v>
      </c>
    </row>
    <row r="257" spans="1:14" s="141" customFormat="1" ht="39.6" x14ac:dyDescent="0.25">
      <c r="A257" s="130" t="s">
        <v>822</v>
      </c>
      <c r="B257" s="309" t="s">
        <v>453</v>
      </c>
      <c r="C257" s="310" t="s">
        <v>116</v>
      </c>
      <c r="D257" s="324">
        <v>80</v>
      </c>
      <c r="E257" s="324">
        <v>40.799999999999997</v>
      </c>
      <c r="F257" s="324">
        <v>3264</v>
      </c>
      <c r="G257" s="124">
        <v>0</v>
      </c>
      <c r="H257" s="124">
        <v>0</v>
      </c>
      <c r="I257" s="121">
        <f t="shared" si="112"/>
        <v>0</v>
      </c>
      <c r="J257" s="124">
        <f t="shared" si="113"/>
        <v>0</v>
      </c>
      <c r="K257" s="124">
        <f t="shared" si="114"/>
        <v>0</v>
      </c>
      <c r="L257" s="121">
        <f t="shared" si="115"/>
        <v>0</v>
      </c>
      <c r="M257" s="129">
        <f t="shared" si="116"/>
        <v>0</v>
      </c>
      <c r="N257" s="179">
        <f t="shared" si="117"/>
        <v>80</v>
      </c>
    </row>
    <row r="258" spans="1:14" s="141" customFormat="1" ht="39.6" x14ac:dyDescent="0.25">
      <c r="A258" s="130" t="s">
        <v>823</v>
      </c>
      <c r="B258" s="309" t="s">
        <v>455</v>
      </c>
      <c r="C258" s="310" t="s">
        <v>31</v>
      </c>
      <c r="D258" s="324">
        <v>9</v>
      </c>
      <c r="E258" s="324">
        <v>34.1</v>
      </c>
      <c r="F258" s="324">
        <v>306.89999999999998</v>
      </c>
      <c r="G258" s="124">
        <v>0</v>
      </c>
      <c r="H258" s="124">
        <v>0</v>
      </c>
      <c r="I258" s="121">
        <f t="shared" si="112"/>
        <v>0</v>
      </c>
      <c r="J258" s="124">
        <f t="shared" si="113"/>
        <v>0</v>
      </c>
      <c r="K258" s="124">
        <f t="shared" si="114"/>
        <v>0</v>
      </c>
      <c r="L258" s="121">
        <f t="shared" si="115"/>
        <v>0</v>
      </c>
      <c r="M258" s="129">
        <f t="shared" si="116"/>
        <v>0</v>
      </c>
      <c r="N258" s="179">
        <f t="shared" si="117"/>
        <v>9</v>
      </c>
    </row>
    <row r="259" spans="1:14" s="141" customFormat="1" ht="39.6" x14ac:dyDescent="0.25">
      <c r="A259" s="130" t="s">
        <v>824</v>
      </c>
      <c r="B259" s="309" t="s">
        <v>389</v>
      </c>
      <c r="C259" s="310" t="s">
        <v>31</v>
      </c>
      <c r="D259" s="324">
        <v>2</v>
      </c>
      <c r="E259" s="324">
        <v>12.3</v>
      </c>
      <c r="F259" s="324">
        <v>24.6</v>
      </c>
      <c r="G259" s="124">
        <v>0</v>
      </c>
      <c r="H259" s="124">
        <v>0</v>
      </c>
      <c r="I259" s="121">
        <f t="shared" si="112"/>
        <v>0</v>
      </c>
      <c r="J259" s="124">
        <f t="shared" si="113"/>
        <v>0</v>
      </c>
      <c r="K259" s="124">
        <f t="shared" si="114"/>
        <v>0</v>
      </c>
      <c r="L259" s="121">
        <f t="shared" si="115"/>
        <v>0</v>
      </c>
      <c r="M259" s="129">
        <f t="shared" si="116"/>
        <v>0</v>
      </c>
      <c r="N259" s="179">
        <f t="shared" si="117"/>
        <v>2</v>
      </c>
    </row>
    <row r="260" spans="1:14" s="141" customFormat="1" ht="26.4" x14ac:dyDescent="0.25">
      <c r="A260" s="130" t="s">
        <v>825</v>
      </c>
      <c r="B260" s="309" t="s">
        <v>457</v>
      </c>
      <c r="C260" s="310" t="s">
        <v>31</v>
      </c>
      <c r="D260" s="324">
        <v>9</v>
      </c>
      <c r="E260" s="324">
        <v>189.3</v>
      </c>
      <c r="F260" s="324">
        <v>1703.7</v>
      </c>
      <c r="G260" s="124">
        <v>0</v>
      </c>
      <c r="H260" s="124">
        <v>0</v>
      </c>
      <c r="I260" s="121">
        <f t="shared" si="112"/>
        <v>0</v>
      </c>
      <c r="J260" s="124">
        <f t="shared" si="113"/>
        <v>0</v>
      </c>
      <c r="K260" s="124">
        <f t="shared" si="114"/>
        <v>0</v>
      </c>
      <c r="L260" s="121">
        <f t="shared" si="115"/>
        <v>0</v>
      </c>
      <c r="M260" s="129">
        <f t="shared" si="116"/>
        <v>0</v>
      </c>
      <c r="N260" s="179">
        <f t="shared" si="117"/>
        <v>9</v>
      </c>
    </row>
    <row r="261" spans="1:14" s="141" customFormat="1" ht="26.4" x14ac:dyDescent="0.25">
      <c r="A261" s="130" t="s">
        <v>826</v>
      </c>
      <c r="B261" s="309" t="s">
        <v>459</v>
      </c>
      <c r="C261" s="310" t="s">
        <v>31</v>
      </c>
      <c r="D261" s="324">
        <v>5</v>
      </c>
      <c r="E261" s="324">
        <v>189.3</v>
      </c>
      <c r="F261" s="324">
        <v>946.5</v>
      </c>
      <c r="G261" s="124">
        <v>0</v>
      </c>
      <c r="H261" s="124">
        <v>0</v>
      </c>
      <c r="I261" s="121">
        <f t="shared" si="112"/>
        <v>0</v>
      </c>
      <c r="J261" s="124">
        <f t="shared" si="113"/>
        <v>0</v>
      </c>
      <c r="K261" s="124">
        <f t="shared" si="114"/>
        <v>0</v>
      </c>
      <c r="L261" s="121">
        <f t="shared" si="115"/>
        <v>0</v>
      </c>
      <c r="M261" s="129">
        <f t="shared" si="116"/>
        <v>0</v>
      </c>
      <c r="N261" s="179">
        <f t="shared" si="117"/>
        <v>5</v>
      </c>
    </row>
    <row r="262" spans="1:14" s="141" customFormat="1" ht="39.6" x14ac:dyDescent="0.25">
      <c r="A262" s="130" t="s">
        <v>827</v>
      </c>
      <c r="B262" s="309" t="s">
        <v>461</v>
      </c>
      <c r="C262" s="310" t="s">
        <v>31</v>
      </c>
      <c r="D262" s="325">
        <v>5</v>
      </c>
      <c r="E262" s="325">
        <v>9.82</v>
      </c>
      <c r="F262" s="325">
        <v>49.1</v>
      </c>
      <c r="G262" s="124">
        <v>0</v>
      </c>
      <c r="H262" s="124">
        <v>0</v>
      </c>
      <c r="I262" s="121">
        <f t="shared" si="112"/>
        <v>0</v>
      </c>
      <c r="J262" s="124">
        <f t="shared" si="113"/>
        <v>0</v>
      </c>
      <c r="K262" s="124">
        <f t="shared" si="114"/>
        <v>0</v>
      </c>
      <c r="L262" s="121">
        <f t="shared" si="115"/>
        <v>0</v>
      </c>
      <c r="M262" s="129">
        <f t="shared" si="116"/>
        <v>0</v>
      </c>
      <c r="N262" s="179">
        <f t="shared" si="117"/>
        <v>5</v>
      </c>
    </row>
    <row r="263" spans="1:14" s="141" customFormat="1" ht="39.6" x14ac:dyDescent="0.25">
      <c r="A263" s="130" t="s">
        <v>828</v>
      </c>
      <c r="B263" s="309" t="s">
        <v>463</v>
      </c>
      <c r="C263" s="310" t="s">
        <v>31</v>
      </c>
      <c r="D263" s="326">
        <v>88</v>
      </c>
      <c r="E263" s="326">
        <v>8.2899999999999991</v>
      </c>
      <c r="F263" s="326">
        <v>729.52</v>
      </c>
      <c r="G263" s="124">
        <v>0</v>
      </c>
      <c r="H263" s="124">
        <v>0</v>
      </c>
      <c r="I263" s="121">
        <f t="shared" si="112"/>
        <v>0</v>
      </c>
      <c r="J263" s="124">
        <f t="shared" si="113"/>
        <v>0</v>
      </c>
      <c r="K263" s="124">
        <f t="shared" si="114"/>
        <v>0</v>
      </c>
      <c r="L263" s="121">
        <f t="shared" si="115"/>
        <v>0</v>
      </c>
      <c r="M263" s="129">
        <f t="shared" si="116"/>
        <v>0</v>
      </c>
      <c r="N263" s="179">
        <f t="shared" si="117"/>
        <v>88</v>
      </c>
    </row>
    <row r="264" spans="1:14" s="141" customFormat="1" ht="26.4" x14ac:dyDescent="0.25">
      <c r="A264" s="130" t="s">
        <v>829</v>
      </c>
      <c r="B264" s="309" t="s">
        <v>465</v>
      </c>
      <c r="C264" s="310" t="s">
        <v>31</v>
      </c>
      <c r="D264" s="324">
        <v>147</v>
      </c>
      <c r="E264" s="324">
        <v>11.08</v>
      </c>
      <c r="F264" s="324">
        <v>1628.76</v>
      </c>
      <c r="G264" s="124">
        <v>0</v>
      </c>
      <c r="H264" s="124">
        <v>0</v>
      </c>
      <c r="I264" s="121">
        <f t="shared" si="112"/>
        <v>0</v>
      </c>
      <c r="J264" s="124">
        <f t="shared" si="113"/>
        <v>0</v>
      </c>
      <c r="K264" s="124">
        <f t="shared" si="114"/>
        <v>0</v>
      </c>
      <c r="L264" s="121">
        <f t="shared" si="115"/>
        <v>0</v>
      </c>
      <c r="M264" s="129">
        <f t="shared" si="116"/>
        <v>0</v>
      </c>
      <c r="N264" s="179">
        <f t="shared" si="117"/>
        <v>147</v>
      </c>
    </row>
    <row r="265" spans="1:14" s="141" customFormat="1" x14ac:dyDescent="0.25">
      <c r="A265" s="130" t="s">
        <v>830</v>
      </c>
      <c r="B265" s="309" t="s">
        <v>467</v>
      </c>
      <c r="C265" s="310" t="s">
        <v>116</v>
      </c>
      <c r="D265" s="324">
        <v>2</v>
      </c>
      <c r="E265" s="324">
        <v>58.66</v>
      </c>
      <c r="F265" s="327">
        <v>117.32</v>
      </c>
      <c r="G265" s="124">
        <v>0</v>
      </c>
      <c r="H265" s="124">
        <v>0</v>
      </c>
      <c r="I265" s="121">
        <f t="shared" si="112"/>
        <v>0</v>
      </c>
      <c r="J265" s="124">
        <f t="shared" si="113"/>
        <v>0</v>
      </c>
      <c r="K265" s="124">
        <f t="shared" si="114"/>
        <v>0</v>
      </c>
      <c r="L265" s="121">
        <f t="shared" si="115"/>
        <v>0</v>
      </c>
      <c r="M265" s="129">
        <f t="shared" si="116"/>
        <v>0</v>
      </c>
      <c r="N265" s="179">
        <f t="shared" si="117"/>
        <v>2</v>
      </c>
    </row>
    <row r="266" spans="1:14" s="141" customFormat="1" ht="24.75" customHeight="1" x14ac:dyDescent="0.25">
      <c r="A266" s="133" t="s">
        <v>937</v>
      </c>
      <c r="B266" s="317" t="s">
        <v>469</v>
      </c>
      <c r="C266" s="134"/>
      <c r="D266" s="335"/>
      <c r="E266" s="335"/>
      <c r="F266" s="338">
        <f>SUM(F267:F274)</f>
        <v>24117.040000000001</v>
      </c>
      <c r="G266" s="136"/>
      <c r="H266" s="136"/>
      <c r="I266" s="136"/>
      <c r="J266" s="138">
        <f>SUM(J267:J274)</f>
        <v>0</v>
      </c>
      <c r="K266" s="138">
        <f>SUM(K267:K274)</f>
        <v>0</v>
      </c>
      <c r="L266" s="138"/>
      <c r="M266" s="139">
        <f>L266/F266</f>
        <v>0</v>
      </c>
    </row>
    <row r="267" spans="1:14" s="141" customFormat="1" ht="39.6" x14ac:dyDescent="0.25">
      <c r="A267" s="130" t="s">
        <v>831</v>
      </c>
      <c r="B267" s="309" t="s">
        <v>471</v>
      </c>
      <c r="C267" s="310" t="s">
        <v>116</v>
      </c>
      <c r="D267" s="324">
        <v>1520</v>
      </c>
      <c r="E267" s="324">
        <v>2.41</v>
      </c>
      <c r="F267" s="324">
        <v>3663.2</v>
      </c>
      <c r="G267" s="124">
        <v>0</v>
      </c>
      <c r="H267" s="124">
        <v>0</v>
      </c>
      <c r="I267" s="121">
        <f t="shared" ref="I267:I274" si="118">G267+H267</f>
        <v>0</v>
      </c>
      <c r="J267" s="124">
        <f t="shared" ref="J267:J274" si="119">TRUNC(E267*G267,2)</f>
        <v>0</v>
      </c>
      <c r="K267" s="124">
        <f t="shared" ref="K267:K274" si="120">TRUNC(E267*H267,2)</f>
        <v>0</v>
      </c>
      <c r="L267" s="121">
        <f t="shared" ref="L267:L274" si="121">J267+K267</f>
        <v>0</v>
      </c>
      <c r="M267" s="129">
        <f t="shared" ref="M267:M286" si="122">L267/F267</f>
        <v>0</v>
      </c>
      <c r="N267" s="179">
        <f t="shared" ref="N267:N274" si="123">D267-I267</f>
        <v>1520</v>
      </c>
    </row>
    <row r="268" spans="1:14" s="141" customFormat="1" ht="39.6" x14ac:dyDescent="0.25">
      <c r="A268" s="130" t="s">
        <v>832</v>
      </c>
      <c r="B268" s="309" t="s">
        <v>473</v>
      </c>
      <c r="C268" s="310" t="s">
        <v>116</v>
      </c>
      <c r="D268" s="324">
        <v>2357.1999999999998</v>
      </c>
      <c r="E268" s="324">
        <v>3.52</v>
      </c>
      <c r="F268" s="324">
        <v>8297.34</v>
      </c>
      <c r="G268" s="124">
        <v>0</v>
      </c>
      <c r="H268" s="124">
        <v>0</v>
      </c>
      <c r="I268" s="121">
        <f t="shared" si="118"/>
        <v>0</v>
      </c>
      <c r="J268" s="124">
        <f t="shared" si="119"/>
        <v>0</v>
      </c>
      <c r="K268" s="124">
        <f t="shared" si="120"/>
        <v>0</v>
      </c>
      <c r="L268" s="121">
        <f t="shared" si="121"/>
        <v>0</v>
      </c>
      <c r="M268" s="129">
        <f t="shared" si="122"/>
        <v>0</v>
      </c>
      <c r="N268" s="179">
        <f t="shared" si="123"/>
        <v>2357.1999999999998</v>
      </c>
    </row>
    <row r="269" spans="1:14" s="141" customFormat="1" ht="39.6" x14ac:dyDescent="0.25">
      <c r="A269" s="130" t="s">
        <v>833</v>
      </c>
      <c r="B269" s="309" t="s">
        <v>475</v>
      </c>
      <c r="C269" s="310" t="s">
        <v>116</v>
      </c>
      <c r="D269" s="324">
        <v>56.8</v>
      </c>
      <c r="E269" s="324">
        <v>20.2</v>
      </c>
      <c r="F269" s="324">
        <v>1147.3599999999999</v>
      </c>
      <c r="G269" s="124">
        <v>0</v>
      </c>
      <c r="H269" s="124">
        <v>0</v>
      </c>
      <c r="I269" s="121">
        <f t="shared" si="118"/>
        <v>0</v>
      </c>
      <c r="J269" s="124">
        <f t="shared" si="119"/>
        <v>0</v>
      </c>
      <c r="K269" s="124">
        <f t="shared" si="120"/>
        <v>0</v>
      </c>
      <c r="L269" s="121">
        <f t="shared" si="121"/>
        <v>0</v>
      </c>
      <c r="M269" s="129">
        <f t="shared" si="122"/>
        <v>0</v>
      </c>
      <c r="N269" s="179">
        <f t="shared" si="123"/>
        <v>56.8</v>
      </c>
    </row>
    <row r="270" spans="1:14" s="141" customFormat="1" ht="39.6" x14ac:dyDescent="0.25">
      <c r="A270" s="130" t="s">
        <v>834</v>
      </c>
      <c r="B270" s="309" t="s">
        <v>477</v>
      </c>
      <c r="C270" s="310" t="s">
        <v>116</v>
      </c>
      <c r="D270" s="324">
        <v>113.6</v>
      </c>
      <c r="E270" s="324">
        <v>38.94</v>
      </c>
      <c r="F270" s="324">
        <v>4423.58</v>
      </c>
      <c r="G270" s="124">
        <v>0</v>
      </c>
      <c r="H270" s="124">
        <v>0</v>
      </c>
      <c r="I270" s="121">
        <f t="shared" si="118"/>
        <v>0</v>
      </c>
      <c r="J270" s="124">
        <f t="shared" si="119"/>
        <v>0</v>
      </c>
      <c r="K270" s="124">
        <f t="shared" si="120"/>
        <v>0</v>
      </c>
      <c r="L270" s="121">
        <f t="shared" si="121"/>
        <v>0</v>
      </c>
      <c r="M270" s="129">
        <f t="shared" si="122"/>
        <v>0</v>
      </c>
      <c r="N270" s="179">
        <f t="shared" si="123"/>
        <v>113.6</v>
      </c>
    </row>
    <row r="271" spans="1:14" s="141" customFormat="1" x14ac:dyDescent="0.25">
      <c r="A271" s="130" t="s">
        <v>835</v>
      </c>
      <c r="B271" s="309" t="s">
        <v>479</v>
      </c>
      <c r="C271" s="310" t="s">
        <v>116</v>
      </c>
      <c r="D271" s="324">
        <v>12.9</v>
      </c>
      <c r="E271" s="324">
        <v>60.23</v>
      </c>
      <c r="F271" s="324">
        <v>776.96</v>
      </c>
      <c r="G271" s="124">
        <v>0</v>
      </c>
      <c r="H271" s="124">
        <v>0</v>
      </c>
      <c r="I271" s="121">
        <f t="shared" si="118"/>
        <v>0</v>
      </c>
      <c r="J271" s="124">
        <f t="shared" si="119"/>
        <v>0</v>
      </c>
      <c r="K271" s="124">
        <f t="shared" si="120"/>
        <v>0</v>
      </c>
      <c r="L271" s="121">
        <f t="shared" si="121"/>
        <v>0</v>
      </c>
      <c r="M271" s="129">
        <f t="shared" si="122"/>
        <v>0</v>
      </c>
      <c r="N271" s="179">
        <f t="shared" si="123"/>
        <v>12.9</v>
      </c>
    </row>
    <row r="272" spans="1:14" s="141" customFormat="1" x14ac:dyDescent="0.25">
      <c r="A272" s="130" t="s">
        <v>836</v>
      </c>
      <c r="B272" s="309" t="s">
        <v>481</v>
      </c>
      <c r="C272" s="310" t="s">
        <v>116</v>
      </c>
      <c r="D272" s="324">
        <v>51.6</v>
      </c>
      <c r="E272" s="324">
        <v>95.55</v>
      </c>
      <c r="F272" s="324">
        <v>4930.38</v>
      </c>
      <c r="G272" s="124">
        <v>0</v>
      </c>
      <c r="H272" s="124">
        <v>0</v>
      </c>
      <c r="I272" s="121">
        <f t="shared" si="118"/>
        <v>0</v>
      </c>
      <c r="J272" s="124">
        <f t="shared" si="119"/>
        <v>0</v>
      </c>
      <c r="K272" s="124">
        <f t="shared" si="120"/>
        <v>0</v>
      </c>
      <c r="L272" s="121">
        <f t="shared" si="121"/>
        <v>0</v>
      </c>
      <c r="M272" s="129">
        <f t="shared" si="122"/>
        <v>0</v>
      </c>
      <c r="N272" s="179">
        <f t="shared" si="123"/>
        <v>51.6</v>
      </c>
    </row>
    <row r="273" spans="1:14" s="141" customFormat="1" ht="39.6" x14ac:dyDescent="0.25">
      <c r="A273" s="130" t="s">
        <v>837</v>
      </c>
      <c r="B273" s="309" t="s">
        <v>483</v>
      </c>
      <c r="C273" s="310" t="s">
        <v>116</v>
      </c>
      <c r="D273" s="324">
        <v>52.6</v>
      </c>
      <c r="E273" s="324">
        <v>6.71</v>
      </c>
      <c r="F273" s="324">
        <v>352.94</v>
      </c>
      <c r="G273" s="124">
        <v>0</v>
      </c>
      <c r="H273" s="124">
        <v>0</v>
      </c>
      <c r="I273" s="121">
        <f t="shared" si="118"/>
        <v>0</v>
      </c>
      <c r="J273" s="124">
        <f t="shared" si="119"/>
        <v>0</v>
      </c>
      <c r="K273" s="124">
        <f t="shared" si="120"/>
        <v>0</v>
      </c>
      <c r="L273" s="121">
        <f t="shared" si="121"/>
        <v>0</v>
      </c>
      <c r="M273" s="129">
        <f t="shared" si="122"/>
        <v>0</v>
      </c>
      <c r="N273" s="179">
        <f t="shared" si="123"/>
        <v>52.6</v>
      </c>
    </row>
    <row r="274" spans="1:14" s="141" customFormat="1" x14ac:dyDescent="0.25">
      <c r="A274" s="130" t="s">
        <v>838</v>
      </c>
      <c r="B274" s="309" t="s">
        <v>485</v>
      </c>
      <c r="C274" s="310" t="s">
        <v>116</v>
      </c>
      <c r="D274" s="324">
        <v>53.6</v>
      </c>
      <c r="E274" s="324">
        <v>9.8000000000000007</v>
      </c>
      <c r="F274" s="327">
        <v>525.28</v>
      </c>
      <c r="G274" s="124">
        <v>0</v>
      </c>
      <c r="H274" s="124">
        <v>0</v>
      </c>
      <c r="I274" s="121">
        <f t="shared" si="118"/>
        <v>0</v>
      </c>
      <c r="J274" s="124">
        <f t="shared" si="119"/>
        <v>0</v>
      </c>
      <c r="K274" s="124">
        <f t="shared" si="120"/>
        <v>0</v>
      </c>
      <c r="L274" s="121">
        <f t="shared" si="121"/>
        <v>0</v>
      </c>
      <c r="M274" s="129">
        <f t="shared" si="122"/>
        <v>0</v>
      </c>
      <c r="N274" s="179">
        <f t="shared" si="123"/>
        <v>53.6</v>
      </c>
    </row>
    <row r="275" spans="1:14" s="141" customFormat="1" ht="25.5" customHeight="1" x14ac:dyDescent="0.25">
      <c r="A275" s="133" t="s">
        <v>938</v>
      </c>
      <c r="B275" s="317" t="s">
        <v>487</v>
      </c>
      <c r="C275" s="134"/>
      <c r="D275" s="335"/>
      <c r="E275" s="335"/>
      <c r="F275" s="338">
        <f>SUM(F276:F286)</f>
        <v>12008.460000000001</v>
      </c>
      <c r="G275" s="136"/>
      <c r="H275" s="136"/>
      <c r="I275" s="136"/>
      <c r="J275" s="138">
        <f>SUM(J276:J286)</f>
        <v>0</v>
      </c>
      <c r="K275" s="138">
        <f>SUM(K276:K286)</f>
        <v>0</v>
      </c>
      <c r="L275" s="138">
        <f>SUM(L276:L276)</f>
        <v>0</v>
      </c>
      <c r="M275" s="139">
        <f t="shared" si="122"/>
        <v>0</v>
      </c>
    </row>
    <row r="276" spans="1:14" s="141" customFormat="1" ht="39.6" x14ac:dyDescent="0.25">
      <c r="A276" s="130" t="s">
        <v>839</v>
      </c>
      <c r="B276" s="309" t="s">
        <v>489</v>
      </c>
      <c r="C276" s="310" t="s">
        <v>31</v>
      </c>
      <c r="D276" s="324">
        <v>56</v>
      </c>
      <c r="E276" s="324">
        <v>24.84</v>
      </c>
      <c r="F276" s="324">
        <v>1391.04</v>
      </c>
      <c r="G276" s="124">
        <v>0</v>
      </c>
      <c r="H276" s="124">
        <v>0</v>
      </c>
      <c r="I276" s="121">
        <f t="shared" ref="I276:I286" si="124">G276+H276</f>
        <v>0</v>
      </c>
      <c r="J276" s="124">
        <f t="shared" ref="J276:J286" si="125">TRUNC(E276*G276,2)</f>
        <v>0</v>
      </c>
      <c r="K276" s="124">
        <f t="shared" ref="K276:K286" si="126">TRUNC(E276*H276,2)</f>
        <v>0</v>
      </c>
      <c r="L276" s="121">
        <f t="shared" ref="L276:L286" si="127">J276+K276</f>
        <v>0</v>
      </c>
      <c r="M276" s="129">
        <f t="shared" si="122"/>
        <v>0</v>
      </c>
      <c r="N276" s="179">
        <f t="shared" ref="N276:N286" si="128">D276-I276</f>
        <v>56</v>
      </c>
    </row>
    <row r="277" spans="1:14" s="141" customFormat="1" ht="39.6" x14ac:dyDescent="0.25">
      <c r="A277" s="130" t="s">
        <v>840</v>
      </c>
      <c r="B277" s="309" t="s">
        <v>491</v>
      </c>
      <c r="C277" s="310" t="s">
        <v>31</v>
      </c>
      <c r="D277" s="324">
        <v>4</v>
      </c>
      <c r="E277" s="324">
        <v>26.61</v>
      </c>
      <c r="F277" s="324">
        <v>106.44</v>
      </c>
      <c r="G277" s="124">
        <v>0</v>
      </c>
      <c r="H277" s="124">
        <v>0</v>
      </c>
      <c r="I277" s="121">
        <f t="shared" si="124"/>
        <v>0</v>
      </c>
      <c r="J277" s="124">
        <f t="shared" si="125"/>
        <v>0</v>
      </c>
      <c r="K277" s="124">
        <f t="shared" si="126"/>
        <v>0</v>
      </c>
      <c r="L277" s="121">
        <f t="shared" si="127"/>
        <v>0</v>
      </c>
      <c r="M277" s="129">
        <f t="shared" si="122"/>
        <v>0</v>
      </c>
      <c r="N277" s="179">
        <f t="shared" si="128"/>
        <v>4</v>
      </c>
    </row>
    <row r="278" spans="1:14" s="141" customFormat="1" ht="39.6" x14ac:dyDescent="0.25">
      <c r="A278" s="130" t="s">
        <v>841</v>
      </c>
      <c r="B278" s="309" t="s">
        <v>493</v>
      </c>
      <c r="C278" s="310" t="s">
        <v>31</v>
      </c>
      <c r="D278" s="324">
        <v>7</v>
      </c>
      <c r="E278" s="324">
        <v>23.68</v>
      </c>
      <c r="F278" s="324">
        <v>165.76</v>
      </c>
      <c r="G278" s="124">
        <v>0</v>
      </c>
      <c r="H278" s="124">
        <v>0</v>
      </c>
      <c r="I278" s="121">
        <f t="shared" si="124"/>
        <v>0</v>
      </c>
      <c r="J278" s="124">
        <f t="shared" si="125"/>
        <v>0</v>
      </c>
      <c r="K278" s="124">
        <f t="shared" si="126"/>
        <v>0</v>
      </c>
      <c r="L278" s="121">
        <f t="shared" si="127"/>
        <v>0</v>
      </c>
      <c r="M278" s="129">
        <f t="shared" si="122"/>
        <v>0</v>
      </c>
      <c r="N278" s="179">
        <f t="shared" si="128"/>
        <v>7</v>
      </c>
    </row>
    <row r="279" spans="1:14" s="141" customFormat="1" ht="39.6" x14ac:dyDescent="0.25">
      <c r="A279" s="130" t="s">
        <v>842</v>
      </c>
      <c r="B279" s="309" t="s">
        <v>495</v>
      </c>
      <c r="C279" s="310" t="s">
        <v>31</v>
      </c>
      <c r="D279" s="324">
        <v>1</v>
      </c>
      <c r="E279" s="324">
        <v>36.1</v>
      </c>
      <c r="F279" s="324">
        <v>36.1</v>
      </c>
      <c r="G279" s="124">
        <v>0</v>
      </c>
      <c r="H279" s="124">
        <v>0</v>
      </c>
      <c r="I279" s="121">
        <f t="shared" si="124"/>
        <v>0</v>
      </c>
      <c r="J279" s="124">
        <f t="shared" si="125"/>
        <v>0</v>
      </c>
      <c r="K279" s="124">
        <f t="shared" si="126"/>
        <v>0</v>
      </c>
      <c r="L279" s="121">
        <f t="shared" si="127"/>
        <v>0</v>
      </c>
      <c r="M279" s="129">
        <f t="shared" si="122"/>
        <v>0</v>
      </c>
      <c r="N279" s="179">
        <f t="shared" si="128"/>
        <v>1</v>
      </c>
    </row>
    <row r="280" spans="1:14" s="141" customFormat="1" ht="39.6" x14ac:dyDescent="0.25">
      <c r="A280" s="130" t="s">
        <v>843</v>
      </c>
      <c r="B280" s="309" t="s">
        <v>497</v>
      </c>
      <c r="C280" s="310" t="s">
        <v>31</v>
      </c>
      <c r="D280" s="324">
        <v>11</v>
      </c>
      <c r="E280" s="324">
        <v>48.52</v>
      </c>
      <c r="F280" s="324">
        <v>533.72</v>
      </c>
      <c r="G280" s="124">
        <v>0</v>
      </c>
      <c r="H280" s="124">
        <v>0</v>
      </c>
      <c r="I280" s="121">
        <f t="shared" si="124"/>
        <v>0</v>
      </c>
      <c r="J280" s="124">
        <f t="shared" si="125"/>
        <v>0</v>
      </c>
      <c r="K280" s="124">
        <f t="shared" si="126"/>
        <v>0</v>
      </c>
      <c r="L280" s="121">
        <f t="shared" si="127"/>
        <v>0</v>
      </c>
      <c r="M280" s="129">
        <f t="shared" si="122"/>
        <v>0</v>
      </c>
      <c r="N280" s="179">
        <f t="shared" si="128"/>
        <v>11</v>
      </c>
    </row>
    <row r="281" spans="1:14" s="141" customFormat="1" ht="39.6" x14ac:dyDescent="0.25">
      <c r="A281" s="130" t="s">
        <v>844</v>
      </c>
      <c r="B281" s="309" t="s">
        <v>499</v>
      </c>
      <c r="C281" s="310" t="s">
        <v>31</v>
      </c>
      <c r="D281" s="324">
        <v>3</v>
      </c>
      <c r="E281" s="324">
        <v>40.28</v>
      </c>
      <c r="F281" s="324">
        <v>120.84</v>
      </c>
      <c r="G281" s="124">
        <v>0</v>
      </c>
      <c r="H281" s="124">
        <v>0</v>
      </c>
      <c r="I281" s="121">
        <f t="shared" si="124"/>
        <v>0</v>
      </c>
      <c r="J281" s="124">
        <f t="shared" si="125"/>
        <v>0</v>
      </c>
      <c r="K281" s="124">
        <f t="shared" si="126"/>
        <v>0</v>
      </c>
      <c r="L281" s="121">
        <f t="shared" si="127"/>
        <v>0</v>
      </c>
      <c r="M281" s="129">
        <f t="shared" si="122"/>
        <v>0</v>
      </c>
      <c r="N281" s="179">
        <f t="shared" si="128"/>
        <v>3</v>
      </c>
    </row>
    <row r="282" spans="1:14" s="141" customFormat="1" x14ac:dyDescent="0.25">
      <c r="A282" s="130" t="s">
        <v>845</v>
      </c>
      <c r="B282" s="309" t="s">
        <v>501</v>
      </c>
      <c r="C282" s="310" t="s">
        <v>31</v>
      </c>
      <c r="D282" s="324">
        <v>7</v>
      </c>
      <c r="E282" s="324">
        <v>12.11</v>
      </c>
      <c r="F282" s="324">
        <v>84.77</v>
      </c>
      <c r="G282" s="124"/>
      <c r="H282" s="124"/>
      <c r="I282" s="121"/>
      <c r="J282" s="124"/>
      <c r="K282" s="124"/>
      <c r="L282" s="121"/>
      <c r="M282" s="129">
        <f t="shared" si="122"/>
        <v>0</v>
      </c>
      <c r="N282" s="179">
        <f t="shared" si="128"/>
        <v>7</v>
      </c>
    </row>
    <row r="283" spans="1:14" s="141" customFormat="1" x14ac:dyDescent="0.25">
      <c r="A283" s="130" t="s">
        <v>846</v>
      </c>
      <c r="B283" s="309" t="s">
        <v>503</v>
      </c>
      <c r="C283" s="310" t="s">
        <v>31</v>
      </c>
      <c r="D283" s="324">
        <v>74</v>
      </c>
      <c r="E283" s="324">
        <v>106.1</v>
      </c>
      <c r="F283" s="324">
        <v>7851.4</v>
      </c>
      <c r="G283" s="124">
        <v>0</v>
      </c>
      <c r="H283" s="124">
        <v>0</v>
      </c>
      <c r="I283" s="121">
        <f t="shared" si="124"/>
        <v>0</v>
      </c>
      <c r="J283" s="124">
        <f t="shared" si="125"/>
        <v>0</v>
      </c>
      <c r="K283" s="124">
        <f t="shared" si="126"/>
        <v>0</v>
      </c>
      <c r="L283" s="121">
        <f t="shared" si="127"/>
        <v>0</v>
      </c>
      <c r="M283" s="129">
        <f t="shared" si="122"/>
        <v>0</v>
      </c>
      <c r="N283" s="179">
        <f t="shared" si="128"/>
        <v>74</v>
      </c>
    </row>
    <row r="284" spans="1:14" s="141" customFormat="1" x14ac:dyDescent="0.25">
      <c r="A284" s="130" t="s">
        <v>847</v>
      </c>
      <c r="B284" s="309" t="s">
        <v>505</v>
      </c>
      <c r="C284" s="310" t="s">
        <v>31</v>
      </c>
      <c r="D284" s="324">
        <v>3</v>
      </c>
      <c r="E284" s="324">
        <v>94.79</v>
      </c>
      <c r="F284" s="324">
        <v>284.37</v>
      </c>
      <c r="G284" s="124">
        <v>0</v>
      </c>
      <c r="H284" s="124">
        <v>0</v>
      </c>
      <c r="I284" s="121">
        <f t="shared" si="124"/>
        <v>0</v>
      </c>
      <c r="J284" s="124">
        <f t="shared" si="125"/>
        <v>0</v>
      </c>
      <c r="K284" s="124">
        <f t="shared" si="126"/>
        <v>0</v>
      </c>
      <c r="L284" s="121">
        <f t="shared" si="127"/>
        <v>0</v>
      </c>
      <c r="M284" s="129">
        <f t="shared" si="122"/>
        <v>0</v>
      </c>
      <c r="N284" s="179">
        <f t="shared" si="128"/>
        <v>3</v>
      </c>
    </row>
    <row r="285" spans="1:14" s="141" customFormat="1" ht="26.4" x14ac:dyDescent="0.25">
      <c r="A285" s="130" t="s">
        <v>848</v>
      </c>
      <c r="B285" s="309" t="s">
        <v>507</v>
      </c>
      <c r="C285" s="310" t="s">
        <v>31</v>
      </c>
      <c r="D285" s="324">
        <v>3</v>
      </c>
      <c r="E285" s="324">
        <v>354.14</v>
      </c>
      <c r="F285" s="324">
        <v>1062.42</v>
      </c>
      <c r="G285" s="124">
        <v>0</v>
      </c>
      <c r="H285" s="124">
        <v>0</v>
      </c>
      <c r="I285" s="121">
        <f t="shared" si="124"/>
        <v>0</v>
      </c>
      <c r="J285" s="124">
        <f t="shared" si="125"/>
        <v>0</v>
      </c>
      <c r="K285" s="124">
        <f t="shared" si="126"/>
        <v>0</v>
      </c>
      <c r="L285" s="121">
        <f t="shared" si="127"/>
        <v>0</v>
      </c>
      <c r="M285" s="129">
        <f t="shared" si="122"/>
        <v>0</v>
      </c>
      <c r="N285" s="179">
        <f t="shared" si="128"/>
        <v>3</v>
      </c>
    </row>
    <row r="286" spans="1:14" s="141" customFormat="1" ht="26.4" x14ac:dyDescent="0.25">
      <c r="A286" s="130" t="s">
        <v>849</v>
      </c>
      <c r="B286" s="309" t="s">
        <v>509</v>
      </c>
      <c r="C286" s="310" t="s">
        <v>31</v>
      </c>
      <c r="D286" s="324">
        <v>10</v>
      </c>
      <c r="E286" s="324">
        <v>37.159999999999997</v>
      </c>
      <c r="F286" s="324">
        <v>371.6</v>
      </c>
      <c r="G286" s="124">
        <v>0</v>
      </c>
      <c r="H286" s="124">
        <v>0</v>
      </c>
      <c r="I286" s="121">
        <f t="shared" si="124"/>
        <v>0</v>
      </c>
      <c r="J286" s="124">
        <f t="shared" si="125"/>
        <v>0</v>
      </c>
      <c r="K286" s="124">
        <f t="shared" si="126"/>
        <v>0</v>
      </c>
      <c r="L286" s="121">
        <f t="shared" si="127"/>
        <v>0</v>
      </c>
      <c r="M286" s="129">
        <f t="shared" si="122"/>
        <v>0</v>
      </c>
      <c r="N286" s="179">
        <f t="shared" si="128"/>
        <v>10</v>
      </c>
    </row>
    <row r="287" spans="1:14" ht="36" customHeight="1" x14ac:dyDescent="0.25">
      <c r="A287" s="131">
        <v>18</v>
      </c>
      <c r="B287" s="313" t="s">
        <v>511</v>
      </c>
      <c r="C287" s="132"/>
      <c r="D287" s="333"/>
      <c r="E287" s="333"/>
      <c r="F287" s="334">
        <f>SUM(F288:F296)</f>
        <v>47328.869999999995</v>
      </c>
      <c r="G287" s="128"/>
      <c r="H287" s="128"/>
      <c r="I287" s="128"/>
      <c r="J287" s="117">
        <f>SUM(J288:J296)</f>
        <v>0</v>
      </c>
      <c r="K287" s="117">
        <f>SUM(K288:K296)</f>
        <v>0</v>
      </c>
      <c r="L287" s="117"/>
      <c r="M287" s="314">
        <f>L287/F287</f>
        <v>0</v>
      </c>
    </row>
    <row r="288" spans="1:14" s="141" customFormat="1" ht="26.4" x14ac:dyDescent="0.25">
      <c r="A288" s="130" t="s">
        <v>850</v>
      </c>
      <c r="B288" s="309" t="s">
        <v>513</v>
      </c>
      <c r="C288" s="310" t="s">
        <v>31</v>
      </c>
      <c r="D288" s="324">
        <v>1</v>
      </c>
      <c r="E288" s="324">
        <v>67.89</v>
      </c>
      <c r="F288" s="324">
        <v>67.89</v>
      </c>
      <c r="G288" s="124">
        <v>0</v>
      </c>
      <c r="H288" s="124">
        <v>0</v>
      </c>
      <c r="I288" s="121">
        <f t="shared" ref="I288:I296" si="129">G288+H288</f>
        <v>0</v>
      </c>
      <c r="J288" s="124">
        <f t="shared" ref="J288:J296" si="130">TRUNC(E288*G288,2)</f>
        <v>0</v>
      </c>
      <c r="K288" s="124">
        <f t="shared" ref="K288:K296" si="131">TRUNC(E288*H288,2)</f>
        <v>0</v>
      </c>
      <c r="L288" s="121">
        <f t="shared" ref="L288:L296" si="132">J288+K288</f>
        <v>0</v>
      </c>
      <c r="M288" s="129">
        <f t="shared" ref="M288:M314" si="133">L288/F288</f>
        <v>0</v>
      </c>
      <c r="N288" s="179">
        <f t="shared" ref="N288:N296" si="134">D288-I288</f>
        <v>1</v>
      </c>
    </row>
    <row r="289" spans="1:14" s="141" customFormat="1" x14ac:dyDescent="0.25">
      <c r="A289" s="130" t="s">
        <v>851</v>
      </c>
      <c r="B289" s="309" t="s">
        <v>515</v>
      </c>
      <c r="C289" s="310" t="s">
        <v>116</v>
      </c>
      <c r="D289" s="324">
        <v>26</v>
      </c>
      <c r="E289" s="324">
        <v>11.03</v>
      </c>
      <c r="F289" s="324">
        <v>286.77999999999997</v>
      </c>
      <c r="G289" s="124">
        <v>0</v>
      </c>
      <c r="H289" s="124">
        <v>0</v>
      </c>
      <c r="I289" s="121">
        <f t="shared" si="129"/>
        <v>0</v>
      </c>
      <c r="J289" s="124">
        <f t="shared" si="130"/>
        <v>0</v>
      </c>
      <c r="K289" s="124">
        <f t="shared" si="131"/>
        <v>0</v>
      </c>
      <c r="L289" s="121">
        <f t="shared" si="132"/>
        <v>0</v>
      </c>
      <c r="M289" s="129">
        <f t="shared" si="133"/>
        <v>0</v>
      </c>
      <c r="N289" s="179">
        <f t="shared" si="134"/>
        <v>26</v>
      </c>
    </row>
    <row r="290" spans="1:14" s="141" customFormat="1" ht="26.4" x14ac:dyDescent="0.25">
      <c r="A290" s="130" t="s">
        <v>852</v>
      </c>
      <c r="B290" s="309" t="s">
        <v>517</v>
      </c>
      <c r="C290" s="310" t="s">
        <v>31</v>
      </c>
      <c r="D290" s="324">
        <v>26</v>
      </c>
      <c r="E290" s="324">
        <v>16.940000000000001</v>
      </c>
      <c r="F290" s="324">
        <v>440.44</v>
      </c>
      <c r="G290" s="124">
        <v>0</v>
      </c>
      <c r="H290" s="124">
        <v>0</v>
      </c>
      <c r="I290" s="121">
        <f t="shared" si="129"/>
        <v>0</v>
      </c>
      <c r="J290" s="124">
        <f t="shared" si="130"/>
        <v>0</v>
      </c>
      <c r="K290" s="124">
        <f t="shared" si="131"/>
        <v>0</v>
      </c>
      <c r="L290" s="121">
        <f t="shared" si="132"/>
        <v>0</v>
      </c>
      <c r="M290" s="129">
        <f t="shared" si="133"/>
        <v>0</v>
      </c>
      <c r="N290" s="179">
        <f t="shared" si="134"/>
        <v>26</v>
      </c>
    </row>
    <row r="291" spans="1:14" s="141" customFormat="1" ht="26.4" x14ac:dyDescent="0.25">
      <c r="A291" s="130" t="s">
        <v>853</v>
      </c>
      <c r="B291" s="309" t="s">
        <v>519</v>
      </c>
      <c r="C291" s="310" t="s">
        <v>365</v>
      </c>
      <c r="D291" s="324">
        <v>1</v>
      </c>
      <c r="E291" s="324">
        <v>308.27999999999997</v>
      </c>
      <c r="F291" s="324">
        <v>308.27999999999997</v>
      </c>
      <c r="G291" s="124">
        <v>0</v>
      </c>
      <c r="H291" s="124">
        <v>0</v>
      </c>
      <c r="I291" s="121">
        <f t="shared" si="129"/>
        <v>0</v>
      </c>
      <c r="J291" s="124">
        <f t="shared" si="130"/>
        <v>0</v>
      </c>
      <c r="K291" s="124">
        <f t="shared" si="131"/>
        <v>0</v>
      </c>
      <c r="L291" s="121">
        <f t="shared" si="132"/>
        <v>0</v>
      </c>
      <c r="M291" s="129">
        <f t="shared" si="133"/>
        <v>0</v>
      </c>
      <c r="N291" s="179">
        <f t="shared" si="134"/>
        <v>1</v>
      </c>
    </row>
    <row r="292" spans="1:14" s="141" customFormat="1" ht="26.4" x14ac:dyDescent="0.25">
      <c r="A292" s="130" t="s">
        <v>854</v>
      </c>
      <c r="B292" s="309" t="s">
        <v>521</v>
      </c>
      <c r="C292" s="310" t="s">
        <v>31</v>
      </c>
      <c r="D292" s="324">
        <v>26</v>
      </c>
      <c r="E292" s="324">
        <v>68.349999999999994</v>
      </c>
      <c r="F292" s="324">
        <v>1777.1</v>
      </c>
      <c r="G292" s="124">
        <v>0</v>
      </c>
      <c r="H292" s="124">
        <v>0</v>
      </c>
      <c r="I292" s="121">
        <f t="shared" si="129"/>
        <v>0</v>
      </c>
      <c r="J292" s="124">
        <f t="shared" si="130"/>
        <v>0</v>
      </c>
      <c r="K292" s="124">
        <f t="shared" si="131"/>
        <v>0</v>
      </c>
      <c r="L292" s="121">
        <f t="shared" si="132"/>
        <v>0</v>
      </c>
      <c r="M292" s="129">
        <f t="shared" si="133"/>
        <v>0</v>
      </c>
      <c r="N292" s="179">
        <f t="shared" si="134"/>
        <v>26</v>
      </c>
    </row>
    <row r="293" spans="1:14" s="141" customFormat="1" ht="26.4" x14ac:dyDescent="0.25">
      <c r="A293" s="130" t="s">
        <v>855</v>
      </c>
      <c r="B293" s="309" t="s">
        <v>523</v>
      </c>
      <c r="C293" s="310" t="s">
        <v>116</v>
      </c>
      <c r="D293" s="325">
        <v>449.2</v>
      </c>
      <c r="E293" s="325">
        <v>51.42</v>
      </c>
      <c r="F293" s="325">
        <v>23097.86</v>
      </c>
      <c r="G293" s="124">
        <v>0</v>
      </c>
      <c r="H293" s="124">
        <v>0</v>
      </c>
      <c r="I293" s="121">
        <f t="shared" si="129"/>
        <v>0</v>
      </c>
      <c r="J293" s="124">
        <f t="shared" si="130"/>
        <v>0</v>
      </c>
      <c r="K293" s="124">
        <f t="shared" si="131"/>
        <v>0</v>
      </c>
      <c r="L293" s="121">
        <f t="shared" si="132"/>
        <v>0</v>
      </c>
      <c r="M293" s="129">
        <f t="shared" si="133"/>
        <v>0</v>
      </c>
      <c r="N293" s="179">
        <f t="shared" si="134"/>
        <v>449.2</v>
      </c>
    </row>
    <row r="294" spans="1:14" s="141" customFormat="1" ht="26.4" x14ac:dyDescent="0.25">
      <c r="A294" s="130" t="s">
        <v>856</v>
      </c>
      <c r="B294" s="309" t="s">
        <v>525</v>
      </c>
      <c r="C294" s="310" t="s">
        <v>116</v>
      </c>
      <c r="D294" s="326">
        <v>305.2</v>
      </c>
      <c r="E294" s="326">
        <v>68.209999999999994</v>
      </c>
      <c r="F294" s="326">
        <v>20817.689999999999</v>
      </c>
      <c r="G294" s="124">
        <v>0</v>
      </c>
      <c r="H294" s="124">
        <v>0</v>
      </c>
      <c r="I294" s="121">
        <f t="shared" si="129"/>
        <v>0</v>
      </c>
      <c r="J294" s="124">
        <f t="shared" si="130"/>
        <v>0</v>
      </c>
      <c r="K294" s="124">
        <f t="shared" si="131"/>
        <v>0</v>
      </c>
      <c r="L294" s="121">
        <f t="shared" si="132"/>
        <v>0</v>
      </c>
      <c r="M294" s="129">
        <f t="shared" si="133"/>
        <v>0</v>
      </c>
      <c r="N294" s="179">
        <f t="shared" si="134"/>
        <v>305.2</v>
      </c>
    </row>
    <row r="295" spans="1:14" s="141" customFormat="1" ht="26.4" x14ac:dyDescent="0.25">
      <c r="A295" s="130" t="s">
        <v>857</v>
      </c>
      <c r="B295" s="309" t="s">
        <v>527</v>
      </c>
      <c r="C295" s="310" t="s">
        <v>31</v>
      </c>
      <c r="D295" s="324">
        <v>5</v>
      </c>
      <c r="E295" s="324">
        <v>39.33</v>
      </c>
      <c r="F295" s="324">
        <v>196.65</v>
      </c>
      <c r="G295" s="124">
        <v>0</v>
      </c>
      <c r="H295" s="124">
        <v>0</v>
      </c>
      <c r="I295" s="121">
        <f t="shared" si="129"/>
        <v>0</v>
      </c>
      <c r="J295" s="124">
        <f t="shared" si="130"/>
        <v>0</v>
      </c>
      <c r="K295" s="124">
        <f t="shared" si="131"/>
        <v>0</v>
      </c>
      <c r="L295" s="121">
        <f t="shared" si="132"/>
        <v>0</v>
      </c>
      <c r="M295" s="129">
        <f t="shared" si="133"/>
        <v>0</v>
      </c>
      <c r="N295" s="179">
        <f t="shared" si="134"/>
        <v>5</v>
      </c>
    </row>
    <row r="296" spans="1:14" s="141" customFormat="1" x14ac:dyDescent="0.25">
      <c r="A296" s="130" t="s">
        <v>858</v>
      </c>
      <c r="B296" s="309" t="s">
        <v>529</v>
      </c>
      <c r="C296" s="310" t="s">
        <v>31</v>
      </c>
      <c r="D296" s="324">
        <v>26</v>
      </c>
      <c r="E296" s="324">
        <v>12.93</v>
      </c>
      <c r="F296" s="327">
        <v>336.18</v>
      </c>
      <c r="G296" s="124">
        <v>0</v>
      </c>
      <c r="H296" s="124">
        <v>0</v>
      </c>
      <c r="I296" s="121">
        <f t="shared" si="129"/>
        <v>0</v>
      </c>
      <c r="J296" s="124">
        <f t="shared" si="130"/>
        <v>0</v>
      </c>
      <c r="K296" s="124">
        <f t="shared" si="131"/>
        <v>0</v>
      </c>
      <c r="L296" s="121">
        <f t="shared" si="132"/>
        <v>0</v>
      </c>
      <c r="M296" s="129">
        <f t="shared" si="133"/>
        <v>0</v>
      </c>
      <c r="N296" s="179">
        <f t="shared" si="134"/>
        <v>26</v>
      </c>
    </row>
    <row r="297" spans="1:14" s="141" customFormat="1" ht="33" customHeight="1" x14ac:dyDescent="0.25">
      <c r="A297" s="148" t="s">
        <v>939</v>
      </c>
      <c r="B297" s="313" t="s">
        <v>531</v>
      </c>
      <c r="C297" s="320"/>
      <c r="D297" s="351"/>
      <c r="E297" s="351"/>
      <c r="F297" s="352">
        <f>F298+F304</f>
        <v>56091.17</v>
      </c>
      <c r="G297" s="150"/>
      <c r="H297" s="150"/>
      <c r="I297" s="150"/>
      <c r="J297" s="150"/>
      <c r="K297" s="150"/>
      <c r="L297" s="150"/>
      <c r="M297" s="314">
        <f>L297/F297</f>
        <v>0</v>
      </c>
    </row>
    <row r="298" spans="1:14" s="141" customFormat="1" ht="22.5" customHeight="1" x14ac:dyDescent="0.25">
      <c r="A298" s="151" t="s">
        <v>940</v>
      </c>
      <c r="B298" s="317" t="s">
        <v>533</v>
      </c>
      <c r="C298" s="318"/>
      <c r="D298" s="336"/>
      <c r="E298" s="336"/>
      <c r="F298" s="337">
        <f>SUM(F299:F303)</f>
        <v>11911.259999999998</v>
      </c>
      <c r="G298" s="137"/>
      <c r="H298" s="137"/>
      <c r="I298" s="137"/>
      <c r="J298" s="137">
        <f>SUM(J299:J303)</f>
        <v>0</v>
      </c>
      <c r="K298" s="137">
        <f>SUM(K299:K303)</f>
        <v>0</v>
      </c>
      <c r="L298" s="137"/>
      <c r="M298" s="139">
        <f>L298/F298</f>
        <v>0</v>
      </c>
    </row>
    <row r="299" spans="1:14" s="141" customFormat="1" x14ac:dyDescent="0.25">
      <c r="A299" s="130" t="s">
        <v>859</v>
      </c>
      <c r="B299" s="309" t="s">
        <v>535</v>
      </c>
      <c r="C299" s="310" t="s">
        <v>24</v>
      </c>
      <c r="D299" s="324">
        <v>12.22</v>
      </c>
      <c r="E299" s="324">
        <v>304.88</v>
      </c>
      <c r="F299" s="324">
        <v>3725.63</v>
      </c>
      <c r="G299" s="124">
        <v>0</v>
      </c>
      <c r="H299" s="124">
        <v>0</v>
      </c>
      <c r="I299" s="121">
        <f t="shared" ref="I299:I303" si="135">G299+H299</f>
        <v>0</v>
      </c>
      <c r="J299" s="124">
        <f t="shared" ref="J299:J303" si="136">TRUNC(E299*G299,2)</f>
        <v>0</v>
      </c>
      <c r="K299" s="124">
        <f t="shared" ref="K299:K303" si="137">TRUNC(E299*H299,2)</f>
        <v>0</v>
      </c>
      <c r="L299" s="121">
        <f t="shared" ref="L299:L303" si="138">J299+K299</f>
        <v>0</v>
      </c>
      <c r="M299" s="129">
        <f t="shared" si="133"/>
        <v>0</v>
      </c>
      <c r="N299" s="179">
        <f t="shared" ref="N299:N303" si="139">D299-I299</f>
        <v>12.22</v>
      </c>
    </row>
    <row r="300" spans="1:14" s="141" customFormat="1" x14ac:dyDescent="0.25">
      <c r="A300" s="130" t="s">
        <v>860</v>
      </c>
      <c r="B300" s="309" t="s">
        <v>535</v>
      </c>
      <c r="C300" s="310" t="s">
        <v>24</v>
      </c>
      <c r="D300" s="324">
        <v>3.5</v>
      </c>
      <c r="E300" s="324">
        <v>304.88</v>
      </c>
      <c r="F300" s="324">
        <v>1067.08</v>
      </c>
      <c r="G300" s="124">
        <v>0</v>
      </c>
      <c r="H300" s="124">
        <v>0</v>
      </c>
      <c r="I300" s="121">
        <f t="shared" si="135"/>
        <v>0</v>
      </c>
      <c r="J300" s="124">
        <f t="shared" si="136"/>
        <v>0</v>
      </c>
      <c r="K300" s="124">
        <f t="shared" si="137"/>
        <v>0</v>
      </c>
      <c r="L300" s="121">
        <f t="shared" si="138"/>
        <v>0</v>
      </c>
      <c r="M300" s="129">
        <f t="shared" si="133"/>
        <v>0</v>
      </c>
      <c r="N300" s="179">
        <f t="shared" si="139"/>
        <v>3.5</v>
      </c>
    </row>
    <row r="301" spans="1:14" s="141" customFormat="1" x14ac:dyDescent="0.25">
      <c r="A301" s="130" t="s">
        <v>861</v>
      </c>
      <c r="B301" s="309" t="s">
        <v>537</v>
      </c>
      <c r="C301" s="310" t="s">
        <v>116</v>
      </c>
      <c r="D301" s="324">
        <v>71.3</v>
      </c>
      <c r="E301" s="324">
        <v>79.55</v>
      </c>
      <c r="F301" s="324">
        <v>5671.91</v>
      </c>
      <c r="G301" s="124">
        <v>0</v>
      </c>
      <c r="H301" s="124">
        <v>0</v>
      </c>
      <c r="I301" s="121">
        <f t="shared" si="135"/>
        <v>0</v>
      </c>
      <c r="J301" s="124">
        <f t="shared" si="136"/>
        <v>0</v>
      </c>
      <c r="K301" s="124">
        <f t="shared" si="137"/>
        <v>0</v>
      </c>
      <c r="L301" s="121">
        <f t="shared" si="138"/>
        <v>0</v>
      </c>
      <c r="M301" s="129">
        <f t="shared" si="133"/>
        <v>0</v>
      </c>
      <c r="N301" s="179">
        <f t="shared" si="139"/>
        <v>71.3</v>
      </c>
    </row>
    <row r="302" spans="1:14" s="141" customFormat="1" x14ac:dyDescent="0.25">
      <c r="A302" s="130" t="s">
        <v>862</v>
      </c>
      <c r="B302" s="309" t="s">
        <v>539</v>
      </c>
      <c r="C302" s="310" t="s">
        <v>24</v>
      </c>
      <c r="D302" s="324">
        <v>6.55</v>
      </c>
      <c r="E302" s="324">
        <v>181.65</v>
      </c>
      <c r="F302" s="324">
        <v>1189.8</v>
      </c>
      <c r="G302" s="124">
        <v>0</v>
      </c>
      <c r="H302" s="124">
        <v>0</v>
      </c>
      <c r="I302" s="121">
        <f t="shared" si="135"/>
        <v>0</v>
      </c>
      <c r="J302" s="124">
        <f t="shared" si="136"/>
        <v>0</v>
      </c>
      <c r="K302" s="124">
        <f t="shared" si="137"/>
        <v>0</v>
      </c>
      <c r="L302" s="121">
        <f t="shared" si="138"/>
        <v>0</v>
      </c>
      <c r="M302" s="129">
        <f t="shared" si="133"/>
        <v>0</v>
      </c>
      <c r="N302" s="179">
        <f t="shared" si="139"/>
        <v>6.55</v>
      </c>
    </row>
    <row r="303" spans="1:14" s="141" customFormat="1" x14ac:dyDescent="0.25">
      <c r="A303" s="130" t="s">
        <v>863</v>
      </c>
      <c r="B303" s="309" t="s">
        <v>541</v>
      </c>
      <c r="C303" s="310" t="s">
        <v>24</v>
      </c>
      <c r="D303" s="324">
        <v>1.9</v>
      </c>
      <c r="E303" s="324">
        <v>135.18</v>
      </c>
      <c r="F303" s="327">
        <v>256.83999999999997</v>
      </c>
      <c r="G303" s="124">
        <v>0</v>
      </c>
      <c r="H303" s="124">
        <v>0</v>
      </c>
      <c r="I303" s="121">
        <f t="shared" si="135"/>
        <v>0</v>
      </c>
      <c r="J303" s="124">
        <f t="shared" si="136"/>
        <v>0</v>
      </c>
      <c r="K303" s="124">
        <f t="shared" si="137"/>
        <v>0</v>
      </c>
      <c r="L303" s="121">
        <f t="shared" si="138"/>
        <v>0</v>
      </c>
      <c r="M303" s="129">
        <f t="shared" si="133"/>
        <v>0</v>
      </c>
      <c r="N303" s="179">
        <f t="shared" si="139"/>
        <v>1.9</v>
      </c>
    </row>
    <row r="304" spans="1:14" s="141" customFormat="1" ht="27" customHeight="1" x14ac:dyDescent="0.25">
      <c r="A304" s="151" t="s">
        <v>941</v>
      </c>
      <c r="B304" s="317" t="s">
        <v>543</v>
      </c>
      <c r="C304" s="318"/>
      <c r="D304" s="336"/>
      <c r="E304" s="336"/>
      <c r="F304" s="337">
        <f>SUM(F305:F311)</f>
        <v>44179.909999999996</v>
      </c>
      <c r="G304" s="137"/>
      <c r="H304" s="137"/>
      <c r="I304" s="137"/>
      <c r="J304" s="137">
        <f>SUM(J305:J311)</f>
        <v>0</v>
      </c>
      <c r="K304" s="137">
        <f>SUM(K305:K311)</f>
        <v>0</v>
      </c>
      <c r="L304" s="137"/>
      <c r="M304" s="139">
        <f>L304/F304</f>
        <v>0</v>
      </c>
    </row>
    <row r="305" spans="1:14" s="141" customFormat="1" x14ac:dyDescent="0.25">
      <c r="A305" s="130" t="s">
        <v>864</v>
      </c>
      <c r="B305" s="309" t="s">
        <v>545</v>
      </c>
      <c r="C305" s="310" t="s">
        <v>31</v>
      </c>
      <c r="D305" s="324">
        <v>1</v>
      </c>
      <c r="E305" s="324">
        <v>3472.9</v>
      </c>
      <c r="F305" s="324">
        <v>3472.9</v>
      </c>
      <c r="G305" s="124">
        <v>0</v>
      </c>
      <c r="H305" s="124">
        <v>0</v>
      </c>
      <c r="I305" s="121">
        <f t="shared" ref="I305:I311" si="140">G305+H305</f>
        <v>0</v>
      </c>
      <c r="J305" s="124">
        <f t="shared" ref="J305:J311" si="141">TRUNC(E305*G305,2)</f>
        <v>0</v>
      </c>
      <c r="K305" s="124">
        <f t="shared" ref="K305:K311" si="142">TRUNC(E305*H305,2)</f>
        <v>0</v>
      </c>
      <c r="L305" s="121">
        <f t="shared" ref="L305:L311" si="143">J305+K305</f>
        <v>0</v>
      </c>
      <c r="M305" s="129">
        <f t="shared" si="133"/>
        <v>0</v>
      </c>
      <c r="N305" s="179">
        <f t="shared" ref="N305:N310" si="144">D305-I305</f>
        <v>1</v>
      </c>
    </row>
    <row r="306" spans="1:14" s="141" customFormat="1" x14ac:dyDescent="0.25">
      <c r="A306" s="130" t="s">
        <v>865</v>
      </c>
      <c r="B306" s="309" t="s">
        <v>547</v>
      </c>
      <c r="C306" s="310" t="s">
        <v>116</v>
      </c>
      <c r="D306" s="324">
        <v>14</v>
      </c>
      <c r="E306" s="324">
        <v>367.74</v>
      </c>
      <c r="F306" s="324">
        <v>5148.3599999999997</v>
      </c>
      <c r="G306" s="124">
        <v>0</v>
      </c>
      <c r="H306" s="124">
        <v>0</v>
      </c>
      <c r="I306" s="121">
        <f t="shared" si="140"/>
        <v>0</v>
      </c>
      <c r="J306" s="124">
        <f t="shared" si="141"/>
        <v>0</v>
      </c>
      <c r="K306" s="124">
        <f t="shared" si="142"/>
        <v>0</v>
      </c>
      <c r="L306" s="121">
        <f t="shared" si="143"/>
        <v>0</v>
      </c>
      <c r="M306" s="129">
        <f t="shared" si="133"/>
        <v>0</v>
      </c>
      <c r="N306" s="179">
        <f t="shared" si="144"/>
        <v>14</v>
      </c>
    </row>
    <row r="307" spans="1:14" s="141" customFormat="1" x14ac:dyDescent="0.25">
      <c r="A307" s="130" t="s">
        <v>866</v>
      </c>
      <c r="B307" s="309" t="s">
        <v>549</v>
      </c>
      <c r="C307" s="310" t="s">
        <v>24</v>
      </c>
      <c r="D307" s="324">
        <v>90.96</v>
      </c>
      <c r="E307" s="324">
        <v>13.97</v>
      </c>
      <c r="F307" s="324">
        <v>1270.71</v>
      </c>
      <c r="G307" s="124">
        <v>0</v>
      </c>
      <c r="H307" s="124">
        <v>0</v>
      </c>
      <c r="I307" s="121">
        <f t="shared" si="140"/>
        <v>0</v>
      </c>
      <c r="J307" s="124">
        <f t="shared" si="141"/>
        <v>0</v>
      </c>
      <c r="K307" s="124">
        <f t="shared" si="142"/>
        <v>0</v>
      </c>
      <c r="L307" s="121">
        <f t="shared" si="143"/>
        <v>0</v>
      </c>
      <c r="M307" s="129">
        <f t="shared" si="133"/>
        <v>0</v>
      </c>
      <c r="N307" s="179">
        <f t="shared" si="144"/>
        <v>90.96</v>
      </c>
    </row>
    <row r="308" spans="1:14" s="141" customFormat="1" x14ac:dyDescent="0.25">
      <c r="A308" s="130" t="s">
        <v>867</v>
      </c>
      <c r="B308" s="309" t="s">
        <v>551</v>
      </c>
      <c r="C308" s="310" t="s">
        <v>116</v>
      </c>
      <c r="D308" s="324">
        <v>143.19999999999999</v>
      </c>
      <c r="E308" s="324">
        <v>125.66</v>
      </c>
      <c r="F308" s="324">
        <v>17994.509999999998</v>
      </c>
      <c r="G308" s="124">
        <v>0</v>
      </c>
      <c r="H308" s="124">
        <v>0</v>
      </c>
      <c r="I308" s="121">
        <f t="shared" si="140"/>
        <v>0</v>
      </c>
      <c r="J308" s="124">
        <f t="shared" si="141"/>
        <v>0</v>
      </c>
      <c r="K308" s="124">
        <f t="shared" si="142"/>
        <v>0</v>
      </c>
      <c r="L308" s="121">
        <f t="shared" si="143"/>
        <v>0</v>
      </c>
      <c r="M308" s="129">
        <f t="shared" si="133"/>
        <v>0</v>
      </c>
      <c r="N308" s="179">
        <f t="shared" si="144"/>
        <v>143.19999999999999</v>
      </c>
    </row>
    <row r="309" spans="1:14" s="141" customFormat="1" ht="39.6" x14ac:dyDescent="0.25">
      <c r="A309" s="130" t="s">
        <v>868</v>
      </c>
      <c r="B309" s="309" t="s">
        <v>385</v>
      </c>
      <c r="C309" s="310" t="s">
        <v>24</v>
      </c>
      <c r="D309" s="324">
        <v>5.27</v>
      </c>
      <c r="E309" s="324">
        <v>817.23</v>
      </c>
      <c r="F309" s="324">
        <v>4306.8</v>
      </c>
      <c r="G309" s="124">
        <v>0</v>
      </c>
      <c r="H309" s="124">
        <v>0</v>
      </c>
      <c r="I309" s="121">
        <f t="shared" si="140"/>
        <v>0</v>
      </c>
      <c r="J309" s="124">
        <f t="shared" si="141"/>
        <v>0</v>
      </c>
      <c r="K309" s="124">
        <f t="shared" si="142"/>
        <v>0</v>
      </c>
      <c r="L309" s="121">
        <f t="shared" si="143"/>
        <v>0</v>
      </c>
      <c r="M309" s="129">
        <f t="shared" si="133"/>
        <v>0</v>
      </c>
      <c r="N309" s="179">
        <f t="shared" si="144"/>
        <v>5.27</v>
      </c>
    </row>
    <row r="310" spans="1:14" s="141" customFormat="1" ht="39.6" x14ac:dyDescent="0.25">
      <c r="A310" s="130" t="s">
        <v>869</v>
      </c>
      <c r="B310" s="309" t="s">
        <v>553</v>
      </c>
      <c r="C310" s="310" t="s">
        <v>24</v>
      </c>
      <c r="D310" s="324">
        <v>4.9000000000000004</v>
      </c>
      <c r="E310" s="324">
        <v>672.55</v>
      </c>
      <c r="F310" s="324">
        <v>3295.49</v>
      </c>
      <c r="G310" s="124">
        <v>0</v>
      </c>
      <c r="H310" s="124">
        <v>0</v>
      </c>
      <c r="I310" s="121">
        <f t="shared" si="140"/>
        <v>0</v>
      </c>
      <c r="J310" s="124">
        <f t="shared" si="141"/>
        <v>0</v>
      </c>
      <c r="K310" s="124">
        <f t="shared" si="142"/>
        <v>0</v>
      </c>
      <c r="L310" s="121">
        <f t="shared" si="143"/>
        <v>0</v>
      </c>
      <c r="M310" s="129">
        <f t="shared" si="133"/>
        <v>0</v>
      </c>
      <c r="N310" s="179">
        <f t="shared" si="144"/>
        <v>4.9000000000000004</v>
      </c>
    </row>
    <row r="311" spans="1:14" s="141" customFormat="1" ht="39.6" x14ac:dyDescent="0.25">
      <c r="A311" s="130" t="s">
        <v>870</v>
      </c>
      <c r="B311" s="309" t="s">
        <v>555</v>
      </c>
      <c r="C311" s="310" t="s">
        <v>24</v>
      </c>
      <c r="D311" s="324">
        <v>5.43</v>
      </c>
      <c r="E311" s="324">
        <v>1600.58</v>
      </c>
      <c r="F311" s="327">
        <v>8691.14</v>
      </c>
      <c r="G311" s="124">
        <v>0</v>
      </c>
      <c r="H311" s="124">
        <v>0</v>
      </c>
      <c r="I311" s="121">
        <f t="shared" si="140"/>
        <v>0</v>
      </c>
      <c r="J311" s="124">
        <f t="shared" si="141"/>
        <v>0</v>
      </c>
      <c r="K311" s="124">
        <f t="shared" si="142"/>
        <v>0</v>
      </c>
      <c r="L311" s="121">
        <f t="shared" si="143"/>
        <v>0</v>
      </c>
      <c r="M311" s="129">
        <f t="shared" si="133"/>
        <v>0</v>
      </c>
      <c r="N311" s="179"/>
    </row>
    <row r="312" spans="1:14" s="141" customFormat="1" ht="23.25" customHeight="1" x14ac:dyDescent="0.25">
      <c r="A312" s="148">
        <v>20</v>
      </c>
      <c r="B312" s="319" t="s">
        <v>557</v>
      </c>
      <c r="C312" s="320"/>
      <c r="D312" s="351"/>
      <c r="E312" s="351"/>
      <c r="F312" s="353">
        <f>SUM(F313:F314)</f>
        <v>3754.85</v>
      </c>
      <c r="G312" s="150"/>
      <c r="H312" s="150"/>
      <c r="I312" s="150"/>
      <c r="J312" s="150">
        <f>J313+J314</f>
        <v>0</v>
      </c>
      <c r="K312" s="150">
        <f>K313+K314</f>
        <v>0</v>
      </c>
      <c r="L312" s="150"/>
      <c r="M312" s="314">
        <f>L312/F312</f>
        <v>0</v>
      </c>
    </row>
    <row r="313" spans="1:14" s="141" customFormat="1" ht="26.4" x14ac:dyDescent="0.25">
      <c r="A313" s="130" t="s">
        <v>871</v>
      </c>
      <c r="B313" s="309" t="s">
        <v>559</v>
      </c>
      <c r="C313" s="310" t="s">
        <v>24</v>
      </c>
      <c r="D313" s="324">
        <v>1129.6400000000001</v>
      </c>
      <c r="E313" s="324">
        <v>1.69</v>
      </c>
      <c r="F313" s="331">
        <f>TRUNC(E313*D313,2)</f>
        <v>1909.09</v>
      </c>
      <c r="G313" s="124">
        <v>0</v>
      </c>
      <c r="H313" s="124">
        <v>0</v>
      </c>
      <c r="I313" s="121">
        <f t="shared" ref="I313:I314" si="145">G313+H313</f>
        <v>0</v>
      </c>
      <c r="J313" s="124">
        <f t="shared" ref="J313:J314" si="146">TRUNC(E313*G313,2)</f>
        <v>0</v>
      </c>
      <c r="K313" s="124">
        <f t="shared" ref="K313:K314" si="147">TRUNC(E313*H313,2)</f>
        <v>0</v>
      </c>
      <c r="L313" s="121">
        <f t="shared" ref="L313:L314" si="148">J313+K313</f>
        <v>0</v>
      </c>
      <c r="M313" s="129">
        <f t="shared" si="133"/>
        <v>0</v>
      </c>
      <c r="N313" s="179"/>
    </row>
    <row r="314" spans="1:14" s="141" customFormat="1" x14ac:dyDescent="0.25">
      <c r="A314" s="130" t="s">
        <v>872</v>
      </c>
      <c r="B314" s="309" t="s">
        <v>561</v>
      </c>
      <c r="C314" s="310" t="s">
        <v>365</v>
      </c>
      <c r="D314" s="325">
        <v>1</v>
      </c>
      <c r="E314" s="325">
        <v>1845.76</v>
      </c>
      <c r="F314" s="354">
        <f>TRUNC(E314*D314,2)</f>
        <v>1845.76</v>
      </c>
      <c r="G314" s="124">
        <v>0</v>
      </c>
      <c r="H314" s="124">
        <v>0</v>
      </c>
      <c r="I314" s="121">
        <f t="shared" si="145"/>
        <v>0</v>
      </c>
      <c r="J314" s="124">
        <f t="shared" si="146"/>
        <v>0</v>
      </c>
      <c r="K314" s="124">
        <f t="shared" si="147"/>
        <v>0</v>
      </c>
      <c r="L314" s="121">
        <f t="shared" si="148"/>
        <v>0</v>
      </c>
      <c r="M314" s="129">
        <f t="shared" si="133"/>
        <v>0</v>
      </c>
      <c r="N314" s="179"/>
    </row>
    <row r="315" spans="1:14" s="141" customFormat="1" ht="13.8" thickBot="1" x14ac:dyDescent="0.3">
      <c r="A315" s="130"/>
      <c r="B315" s="309"/>
      <c r="C315" s="310"/>
      <c r="D315" s="311"/>
      <c r="E315" s="312"/>
      <c r="F315" s="120"/>
      <c r="G315" s="124"/>
      <c r="H315" s="124"/>
      <c r="I315" s="121"/>
      <c r="J315" s="124"/>
      <c r="K315" s="124"/>
      <c r="L315" s="121"/>
      <c r="M315" s="152"/>
    </row>
    <row r="316" spans="1:14" ht="26.25" customHeight="1" thickTop="1" thickBot="1" x14ac:dyDescent="0.3">
      <c r="A316" s="441" t="s">
        <v>913</v>
      </c>
      <c r="B316" s="442"/>
      <c r="C316" s="442"/>
      <c r="D316" s="442"/>
      <c r="E316" s="443"/>
      <c r="F316" s="153">
        <f>F312+F297+F287+F236+F231+F219+F198+F179+F151+F143+F129+F120+F118+F109+F79+F75+F57+F35+F30+F19</f>
        <v>1401000.0039999997</v>
      </c>
      <c r="G316" s="424"/>
      <c r="H316" s="424"/>
      <c r="I316" s="424"/>
      <c r="J316" s="153">
        <f>SUM(J312,J297,J287,J236,J231,J219,J198,J179,J151,J143,J129,J120,J118,J109,J79,J75,J57,J35,J30,J19)</f>
        <v>240825.524</v>
      </c>
      <c r="K316" s="153">
        <f>SUM(K312,K297,K287,K236,K231,K219,K198,K179,K151,K143,K129,K120,K118,K109,K79,K75,K57,K35,K30,K19)</f>
        <v>102090.55967999999</v>
      </c>
      <c r="L316" s="153">
        <f>-0.01+SUM(L312,L297,L287,L236,L231,L219,L198,L179,L151,L143,L129,L120,L118,L109,L79,L75,L57,L35,L30,L19)</f>
        <v>342916.08367999998</v>
      </c>
      <c r="M316" s="154">
        <f>L316/F316</f>
        <v>0.24476522676726561</v>
      </c>
    </row>
    <row r="317" spans="1:14" s="141" customFormat="1" ht="12" customHeight="1" thickTop="1" x14ac:dyDescent="0.25">
      <c r="A317" s="155"/>
      <c r="B317" s="156"/>
      <c r="C317" s="157"/>
      <c r="D317" s="158"/>
      <c r="E317" s="159"/>
      <c r="F317" s="160"/>
      <c r="G317" s="161"/>
      <c r="H317" s="161"/>
      <c r="I317" s="162"/>
      <c r="J317" s="161"/>
      <c r="K317" s="161"/>
      <c r="L317" s="162"/>
      <c r="M317" s="163"/>
    </row>
    <row r="318" spans="1:14" s="110" customFormat="1" ht="18" hidden="1" customHeight="1" x14ac:dyDescent="0.25">
      <c r="A318" s="109" t="s">
        <v>905</v>
      </c>
      <c r="B318" s="109" t="s">
        <v>906</v>
      </c>
      <c r="C318" s="434" t="s">
        <v>907</v>
      </c>
      <c r="D318" s="434"/>
      <c r="E318" s="434"/>
      <c r="F318" s="434"/>
      <c r="G318" s="434" t="s">
        <v>908</v>
      </c>
      <c r="H318" s="434"/>
      <c r="I318" s="434"/>
      <c r="J318" s="434" t="s">
        <v>909</v>
      </c>
      <c r="K318" s="434"/>
      <c r="L318" s="434"/>
      <c r="M318" s="432" t="s">
        <v>910</v>
      </c>
    </row>
    <row r="319" spans="1:14" s="112" customFormat="1" ht="36" hidden="1" x14ac:dyDescent="0.25">
      <c r="A319" s="111"/>
      <c r="B319" s="111"/>
      <c r="C319" s="111" t="s">
        <v>911</v>
      </c>
      <c r="D319" s="111" t="s">
        <v>567</v>
      </c>
      <c r="E319" s="111" t="s">
        <v>912</v>
      </c>
      <c r="F319" s="111" t="s">
        <v>913</v>
      </c>
      <c r="G319" s="111" t="s">
        <v>914</v>
      </c>
      <c r="H319" s="111" t="s">
        <v>915</v>
      </c>
      <c r="I319" s="111" t="s">
        <v>916</v>
      </c>
      <c r="J319" s="111" t="s">
        <v>914</v>
      </c>
      <c r="K319" s="111" t="s">
        <v>915</v>
      </c>
      <c r="L319" s="111" t="s">
        <v>916</v>
      </c>
      <c r="M319" s="433"/>
    </row>
    <row r="320" spans="1:14" hidden="1" x14ac:dyDescent="0.25">
      <c r="A320" s="418" t="s">
        <v>942</v>
      </c>
      <c r="B320" s="419"/>
      <c r="C320" s="419"/>
      <c r="D320" s="419"/>
      <c r="E320" s="419"/>
      <c r="F320" s="419"/>
      <c r="G320" s="419"/>
      <c r="H320" s="419"/>
      <c r="I320" s="419"/>
      <c r="J320" s="419"/>
      <c r="K320" s="419"/>
      <c r="L320" s="419"/>
      <c r="M320" s="420"/>
    </row>
    <row r="321" spans="1:15" hidden="1" x14ac:dyDescent="0.25">
      <c r="A321" s="164"/>
      <c r="B321" s="165" t="s">
        <v>56</v>
      </c>
      <c r="C321" s="165"/>
      <c r="D321" s="166"/>
      <c r="E321" s="167"/>
      <c r="F321" s="168">
        <f>SUM(F322:F323)</f>
        <v>5957.8932225147064</v>
      </c>
      <c r="G321" s="168"/>
      <c r="H321" s="168"/>
      <c r="I321" s="168"/>
      <c r="J321" s="169">
        <f t="shared" ref="J321" si="149">SUM(J322)</f>
        <v>0</v>
      </c>
      <c r="K321" s="169">
        <f>SUM(K322:K323)</f>
        <v>5957.89</v>
      </c>
      <c r="L321" s="169">
        <f>K321</f>
        <v>5957.89</v>
      </c>
      <c r="M321" s="170">
        <f>L321/F321</f>
        <v>0.99999945911841892</v>
      </c>
    </row>
    <row r="322" spans="1:15" s="141" customFormat="1" ht="52.8" hidden="1" x14ac:dyDescent="0.25">
      <c r="A322" s="130">
        <v>1</v>
      </c>
      <c r="B322" s="171" t="s">
        <v>943</v>
      </c>
      <c r="C322" s="172" t="s">
        <v>24</v>
      </c>
      <c r="D322" s="173">
        <v>62.713949999999997</v>
      </c>
      <c r="E322" s="174">
        <f>'[1]CPU do item não planilhado'!K11</f>
        <v>95.001083849999986</v>
      </c>
      <c r="F322" s="174">
        <f>E322*D322</f>
        <v>5957.8932225147064</v>
      </c>
      <c r="G322" s="124">
        <v>0</v>
      </c>
      <c r="H322" s="124">
        <f>D322</f>
        <v>62.713949999999997</v>
      </c>
      <c r="I322" s="121">
        <f>G322+H322</f>
        <v>62.713949999999997</v>
      </c>
      <c r="J322" s="124">
        <f>TRUNC(E322*G322,2)</f>
        <v>0</v>
      </c>
      <c r="K322" s="124">
        <f>TRUNC(E322*H322,2)</f>
        <v>5957.89</v>
      </c>
      <c r="L322" s="121">
        <f>J322+K322</f>
        <v>5957.89</v>
      </c>
      <c r="M322" s="152">
        <f t="shared" ref="M322" si="150">L322/F322</f>
        <v>0.99999945911841892</v>
      </c>
    </row>
    <row r="323" spans="1:15" ht="27.75" customHeight="1" thickBot="1" x14ac:dyDescent="0.3">
      <c r="L323" s="315"/>
    </row>
    <row r="324" spans="1:15" ht="36" customHeight="1" thickTop="1" thickBot="1" x14ac:dyDescent="0.3">
      <c r="A324" s="421" t="s">
        <v>1116</v>
      </c>
      <c r="B324" s="422"/>
      <c r="C324" s="422"/>
      <c r="D324" s="422"/>
      <c r="E324" s="423"/>
      <c r="F324" s="153">
        <f>F316</f>
        <v>1401000.0039999997</v>
      </c>
      <c r="G324" s="424"/>
      <c r="H324" s="424"/>
      <c r="I324" s="424"/>
      <c r="J324" s="153">
        <f>J316</f>
        <v>240825.524</v>
      </c>
      <c r="K324" s="176">
        <f>K316</f>
        <v>102090.55967999999</v>
      </c>
      <c r="L324" s="153">
        <f>K324+J324</f>
        <v>342916.08367999998</v>
      </c>
      <c r="M324" s="154">
        <f>L324/F324</f>
        <v>0.24476522676726561</v>
      </c>
      <c r="O324" s="357"/>
    </row>
    <row r="325" spans="1:15" ht="16.2" thickTop="1" x14ac:dyDescent="0.25">
      <c r="A325" s="177"/>
      <c r="B325" s="177"/>
      <c r="C325" s="177"/>
      <c r="D325" s="177"/>
      <c r="E325" s="177"/>
      <c r="F325" s="178"/>
      <c r="G325" s="179"/>
      <c r="H325" s="179"/>
      <c r="I325" s="179"/>
      <c r="J325" s="178"/>
      <c r="K325" s="178"/>
      <c r="L325" s="178"/>
      <c r="M325" s="180"/>
    </row>
    <row r="326" spans="1:15" ht="15.6" x14ac:dyDescent="0.25">
      <c r="B326" s="425"/>
      <c r="C326" s="425"/>
      <c r="D326" s="425"/>
      <c r="E326" s="425"/>
      <c r="F326" s="425"/>
      <c r="G326" s="425"/>
      <c r="H326" s="425"/>
      <c r="I326" s="425"/>
      <c r="J326" s="425"/>
      <c r="K326" s="425"/>
      <c r="L326" s="425"/>
      <c r="M326" s="425"/>
    </row>
    <row r="327" spans="1:15" ht="15" customHeight="1" thickBot="1" x14ac:dyDescent="0.3"/>
    <row r="328" spans="1:15" ht="81" customHeight="1" thickTop="1" x14ac:dyDescent="0.25">
      <c r="A328" s="426" t="s">
        <v>944</v>
      </c>
      <c r="B328" s="427"/>
      <c r="C328" s="428" t="s">
        <v>945</v>
      </c>
      <c r="D328" s="429"/>
      <c r="E328" s="429"/>
      <c r="F328" s="429"/>
      <c r="G328" s="429"/>
      <c r="H328" s="430"/>
      <c r="I328" s="428" t="s">
        <v>946</v>
      </c>
      <c r="J328" s="429"/>
      <c r="K328" s="429"/>
      <c r="L328" s="429"/>
      <c r="M328" s="431"/>
    </row>
    <row r="329" spans="1:15" ht="45" customHeight="1" x14ac:dyDescent="0.25">
      <c r="A329" s="410" t="s">
        <v>947</v>
      </c>
      <c r="B329" s="411"/>
      <c r="C329" s="412" t="s">
        <v>948</v>
      </c>
      <c r="D329" s="413"/>
      <c r="E329" s="413"/>
      <c r="F329" s="413"/>
      <c r="G329" s="413"/>
      <c r="H329" s="414"/>
      <c r="I329" s="415" t="s">
        <v>949</v>
      </c>
      <c r="J329" s="416"/>
      <c r="K329" s="416"/>
      <c r="L329" s="416"/>
      <c r="M329" s="417"/>
    </row>
    <row r="331" spans="1:15" x14ac:dyDescent="0.25">
      <c r="J331" s="356"/>
      <c r="L331" s="357"/>
    </row>
  </sheetData>
  <sheetProtection selectLockedCells="1" selectUnlockedCells="1"/>
  <mergeCells count="32">
    <mergeCell ref="C16:F16"/>
    <mergeCell ref="G16:I16"/>
    <mergeCell ref="J16:L16"/>
    <mergeCell ref="M16:M17"/>
    <mergeCell ref="A2:M2"/>
    <mergeCell ref="J4:K4"/>
    <mergeCell ref="J5:K5"/>
    <mergeCell ref="H11:I11"/>
    <mergeCell ref="J11:K11"/>
    <mergeCell ref="L11:M11"/>
    <mergeCell ref="B13:E13"/>
    <mergeCell ref="F14:G14"/>
    <mergeCell ref="H14:I14"/>
    <mergeCell ref="J14:K14"/>
    <mergeCell ref="L14:M14"/>
    <mergeCell ref="P37:P38"/>
    <mergeCell ref="A316:E316"/>
    <mergeCell ref="G316:I316"/>
    <mergeCell ref="C318:F318"/>
    <mergeCell ref="G318:I318"/>
    <mergeCell ref="J318:L318"/>
    <mergeCell ref="M318:M319"/>
    <mergeCell ref="A329:B329"/>
    <mergeCell ref="C329:H329"/>
    <mergeCell ref="I329:M329"/>
    <mergeCell ref="A320:M320"/>
    <mergeCell ref="A324:E324"/>
    <mergeCell ref="G324:I324"/>
    <mergeCell ref="B326:M326"/>
    <mergeCell ref="A328:B328"/>
    <mergeCell ref="C328:H328"/>
    <mergeCell ref="I328:M328"/>
  </mergeCells>
  <conditionalFormatting sqref="N20:N29">
    <cfRule type="cellIs" dxfId="33" priority="34" operator="equal">
      <formula>0</formula>
    </cfRule>
  </conditionalFormatting>
  <conditionalFormatting sqref="N31:N34">
    <cfRule type="cellIs" dxfId="32" priority="33" operator="equal">
      <formula>0</formula>
    </cfRule>
  </conditionalFormatting>
  <conditionalFormatting sqref="N37:N44">
    <cfRule type="cellIs" dxfId="31" priority="32" operator="equal">
      <formula>0</formula>
    </cfRule>
  </conditionalFormatting>
  <conditionalFormatting sqref="N46:N51">
    <cfRule type="cellIs" dxfId="30" priority="31" operator="equal">
      <formula>0</formula>
    </cfRule>
  </conditionalFormatting>
  <conditionalFormatting sqref="N53:N56">
    <cfRule type="cellIs" dxfId="29" priority="30" operator="equal">
      <formula>0</formula>
    </cfRule>
  </conditionalFormatting>
  <conditionalFormatting sqref="N59:N64">
    <cfRule type="cellIs" dxfId="28" priority="29" operator="equal">
      <formula>0</formula>
    </cfRule>
  </conditionalFormatting>
  <conditionalFormatting sqref="N66:N70">
    <cfRule type="cellIs" dxfId="27" priority="28" operator="equal">
      <formula>0</formula>
    </cfRule>
  </conditionalFormatting>
  <conditionalFormatting sqref="N72">
    <cfRule type="cellIs" dxfId="26" priority="27" operator="equal">
      <formula>0</formula>
    </cfRule>
  </conditionalFormatting>
  <conditionalFormatting sqref="N74">
    <cfRule type="cellIs" dxfId="25" priority="26" operator="equal">
      <formula>0</formula>
    </cfRule>
  </conditionalFormatting>
  <conditionalFormatting sqref="N76:N78">
    <cfRule type="cellIs" dxfId="24" priority="25" operator="equal">
      <formula>0</formula>
    </cfRule>
  </conditionalFormatting>
  <conditionalFormatting sqref="N81:N87">
    <cfRule type="cellIs" dxfId="23" priority="24" operator="equal">
      <formula>0</formula>
    </cfRule>
  </conditionalFormatting>
  <conditionalFormatting sqref="N89:N91">
    <cfRule type="cellIs" dxfId="22" priority="23" operator="equal">
      <formula>0</formula>
    </cfRule>
  </conditionalFormatting>
  <conditionalFormatting sqref="N93">
    <cfRule type="cellIs" dxfId="21" priority="22" operator="equal">
      <formula>0</formula>
    </cfRule>
  </conditionalFormatting>
  <conditionalFormatting sqref="N95:N105">
    <cfRule type="cellIs" dxfId="20" priority="21" operator="equal">
      <formula>0</formula>
    </cfRule>
  </conditionalFormatting>
  <conditionalFormatting sqref="N107:N108">
    <cfRule type="cellIs" dxfId="19" priority="20" operator="equal">
      <formula>0</formula>
    </cfRule>
  </conditionalFormatting>
  <conditionalFormatting sqref="N110:N117">
    <cfRule type="cellIs" dxfId="18" priority="19" operator="equal">
      <formula>0</formula>
    </cfRule>
  </conditionalFormatting>
  <conditionalFormatting sqref="N119">
    <cfRule type="cellIs" dxfId="17" priority="18" operator="equal">
      <formula>0</formula>
    </cfRule>
  </conditionalFormatting>
  <conditionalFormatting sqref="N121:N128">
    <cfRule type="cellIs" dxfId="16" priority="17" operator="equal">
      <formula>0</formula>
    </cfRule>
  </conditionalFormatting>
  <conditionalFormatting sqref="N131:N137">
    <cfRule type="cellIs" dxfId="15" priority="16" operator="equal">
      <formula>0</formula>
    </cfRule>
  </conditionalFormatting>
  <conditionalFormatting sqref="N139:N142">
    <cfRule type="cellIs" dxfId="14" priority="15" operator="equal">
      <formula>0</formula>
    </cfRule>
  </conditionalFormatting>
  <conditionalFormatting sqref="N144:N150">
    <cfRule type="cellIs" dxfId="13" priority="14" operator="equal">
      <formula>0</formula>
    </cfRule>
  </conditionalFormatting>
  <conditionalFormatting sqref="N152:N178">
    <cfRule type="cellIs" dxfId="12" priority="13" operator="equal">
      <formula>0</formula>
    </cfRule>
  </conditionalFormatting>
  <conditionalFormatting sqref="N180:N197">
    <cfRule type="cellIs" dxfId="11" priority="12" operator="equal">
      <formula>0</formula>
    </cfRule>
  </conditionalFormatting>
  <conditionalFormatting sqref="N199:N218">
    <cfRule type="cellIs" dxfId="10" priority="11" operator="equal">
      <formula>0</formula>
    </cfRule>
  </conditionalFormatting>
  <conditionalFormatting sqref="N220:N230">
    <cfRule type="cellIs" dxfId="9" priority="10" operator="equal">
      <formula>0</formula>
    </cfRule>
  </conditionalFormatting>
  <conditionalFormatting sqref="N232:N235">
    <cfRule type="cellIs" dxfId="8" priority="9" operator="equal">
      <formula>0</formula>
    </cfRule>
  </conditionalFormatting>
  <conditionalFormatting sqref="N238:N251">
    <cfRule type="cellIs" dxfId="7" priority="8" operator="equal">
      <formula>0</formula>
    </cfRule>
  </conditionalFormatting>
  <conditionalFormatting sqref="N253:N265">
    <cfRule type="cellIs" dxfId="6" priority="7" operator="equal">
      <formula>0</formula>
    </cfRule>
  </conditionalFormatting>
  <conditionalFormatting sqref="N267:N274">
    <cfRule type="cellIs" dxfId="5" priority="6" operator="equal">
      <formula>0</formula>
    </cfRule>
  </conditionalFormatting>
  <conditionalFormatting sqref="N276:N286">
    <cfRule type="cellIs" dxfId="4" priority="5" operator="equal">
      <formula>0</formula>
    </cfRule>
  </conditionalFormatting>
  <conditionalFormatting sqref="N288:N296">
    <cfRule type="cellIs" dxfId="3" priority="4" operator="equal">
      <formula>0</formula>
    </cfRule>
  </conditionalFormatting>
  <conditionalFormatting sqref="N299:N303">
    <cfRule type="cellIs" dxfId="2" priority="3" operator="equal">
      <formula>0</formula>
    </cfRule>
  </conditionalFormatting>
  <conditionalFormatting sqref="N305:N311">
    <cfRule type="cellIs" dxfId="1" priority="2" operator="equal">
      <formula>0</formula>
    </cfRule>
  </conditionalFormatting>
  <conditionalFormatting sqref="N313:N314">
    <cfRule type="cellIs" dxfId="0" priority="1" operator="equal">
      <formula>0</formula>
    </cfRule>
  </conditionalFormatting>
  <printOptions horizontalCentered="1"/>
  <pageMargins left="0.39370078740157483" right="0.39370078740157483" top="0.31496062992125984" bottom="0.19685039370078741" header="0" footer="0"/>
  <pageSetup paperSize="9" scale="59" fitToHeight="0" orientation="landscape" r:id="rId1"/>
  <headerFooter>
    <oddFooter>&amp;L&amp;"Arial,Normal"&amp;8cavs-01&amp;R&amp;"Arial,Normal"&amp;8Página: &amp;P/&amp;N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8EBFA-BA23-41F8-9604-D6836AE6A97F}">
  <sheetPr>
    <pageSetUpPr fitToPage="1"/>
  </sheetPr>
  <dimension ref="A1:R651"/>
  <sheetViews>
    <sheetView tabSelected="1" view="pageBreakPreview" topLeftCell="A611" zoomScale="70" zoomScaleNormal="85" zoomScaleSheetLayoutView="70" workbookViewId="0">
      <selection activeCell="A648" sqref="A648"/>
    </sheetView>
  </sheetViews>
  <sheetFormatPr defaultColWidth="9" defaultRowHeight="13.8" x14ac:dyDescent="0.25"/>
  <cols>
    <col min="1" max="1" width="12.19921875" style="363" customWidth="1"/>
    <col min="2" max="2" width="18.19921875" style="363" customWidth="1"/>
    <col min="3" max="3" width="65.8984375" style="363" customWidth="1"/>
    <col min="4" max="7" width="9" style="363"/>
    <col min="8" max="8" width="12.69921875" style="363" customWidth="1"/>
    <col min="9" max="16384" width="9" style="363"/>
  </cols>
  <sheetData>
    <row r="1" spans="1:13" ht="14.4" thickBot="1" x14ac:dyDescent="0.3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15.6" x14ac:dyDescent="0.25">
      <c r="A2" s="471"/>
      <c r="B2" s="472"/>
      <c r="C2" s="465"/>
      <c r="D2" s="466"/>
      <c r="E2" s="466"/>
      <c r="F2" s="466"/>
      <c r="G2" s="466"/>
      <c r="H2" s="467"/>
      <c r="I2" s="86"/>
      <c r="J2"/>
      <c r="K2"/>
      <c r="L2"/>
      <c r="M2"/>
    </row>
    <row r="3" spans="1:13" ht="18" customHeight="1" x14ac:dyDescent="0.25">
      <c r="A3" s="475" t="s">
        <v>585</v>
      </c>
      <c r="B3" s="476"/>
      <c r="C3" s="479" t="s">
        <v>590</v>
      </c>
      <c r="D3" s="480"/>
      <c r="E3" s="480"/>
      <c r="F3" s="480"/>
      <c r="G3" s="480"/>
      <c r="H3" s="481"/>
      <c r="I3" s="86"/>
      <c r="J3"/>
      <c r="K3"/>
      <c r="L3"/>
      <c r="M3"/>
    </row>
    <row r="4" spans="1:13" ht="15.6" x14ac:dyDescent="0.25">
      <c r="A4" s="475" t="s">
        <v>586</v>
      </c>
      <c r="B4" s="476"/>
      <c r="C4" s="482" t="s">
        <v>591</v>
      </c>
      <c r="D4" s="483"/>
      <c r="E4" s="483"/>
      <c r="F4" s="483"/>
      <c r="G4" s="483"/>
      <c r="H4" s="484"/>
      <c r="I4" s="86"/>
      <c r="J4"/>
      <c r="K4"/>
      <c r="L4"/>
      <c r="M4"/>
    </row>
    <row r="5" spans="1:13" ht="15.6" x14ac:dyDescent="0.25">
      <c r="A5" s="475" t="s">
        <v>587</v>
      </c>
      <c r="B5" s="477"/>
      <c r="C5" s="485" t="s">
        <v>592</v>
      </c>
      <c r="D5" s="485"/>
      <c r="E5" s="485"/>
      <c r="F5" s="485"/>
      <c r="G5" s="485"/>
      <c r="H5" s="486"/>
      <c r="I5" s="86"/>
      <c r="J5"/>
      <c r="K5"/>
      <c r="L5"/>
      <c r="M5"/>
    </row>
    <row r="6" spans="1:13" ht="16.2" thickBot="1" x14ac:dyDescent="0.3">
      <c r="A6" s="473" t="s">
        <v>588</v>
      </c>
      <c r="B6" s="474"/>
      <c r="C6" s="487" t="s">
        <v>593</v>
      </c>
      <c r="D6" s="487"/>
      <c r="E6" s="487"/>
      <c r="F6" s="488"/>
      <c r="G6" s="79" t="s">
        <v>589</v>
      </c>
      <c r="H6" s="87">
        <v>45869</v>
      </c>
      <c r="I6" s="86"/>
      <c r="J6"/>
      <c r="K6"/>
      <c r="L6"/>
      <c r="M6"/>
    </row>
    <row r="7" spans="1:13" ht="15" x14ac:dyDescent="0.25">
      <c r="A7" s="468"/>
      <c r="B7" s="469"/>
      <c r="C7" s="469"/>
      <c r="D7" s="469"/>
      <c r="E7" s="469"/>
      <c r="F7" s="469"/>
      <c r="G7" s="469"/>
      <c r="H7" s="470"/>
      <c r="I7"/>
      <c r="J7"/>
      <c r="K7"/>
      <c r="L7"/>
      <c r="M7"/>
    </row>
    <row r="8" spans="1:13" ht="15.6" x14ac:dyDescent="0.25">
      <c r="A8" s="478" t="s">
        <v>1113</v>
      </c>
      <c r="B8" s="469"/>
      <c r="C8" s="469"/>
      <c r="D8" s="469"/>
      <c r="E8" s="469"/>
      <c r="F8" s="469"/>
      <c r="G8" s="469"/>
      <c r="H8" s="470"/>
      <c r="I8"/>
      <c r="J8"/>
      <c r="K8"/>
      <c r="L8"/>
      <c r="M8"/>
    </row>
    <row r="9" spans="1:13" ht="15.6" x14ac:dyDescent="0.25">
      <c r="A9" s="83"/>
      <c r="B9" s="84"/>
      <c r="C9" s="84"/>
      <c r="D9" s="84"/>
      <c r="E9" s="84"/>
      <c r="F9" s="84"/>
      <c r="G9" s="84"/>
      <c r="H9" s="84"/>
      <c r="I9"/>
      <c r="J9"/>
      <c r="K9"/>
      <c r="L9"/>
      <c r="M9"/>
    </row>
    <row r="10" spans="1:13" ht="38.25" hidden="1" customHeight="1" x14ac:dyDescent="0.25">
      <c r="A10" s="80" t="s">
        <v>597</v>
      </c>
      <c r="B10" s="81"/>
      <c r="C10" s="82" t="str">
        <f>VLOOKUP(A10,'[2]Orçamento Sintético'!A4:D301,4,0)</f>
        <v>Placa de obra em chapa aço galvanizado, instalada - Rev 02_01/2022</v>
      </c>
      <c r="D10" s="81"/>
      <c r="E10" s="81"/>
      <c r="F10" s="462" t="s">
        <v>595</v>
      </c>
      <c r="G10" s="462"/>
      <c r="H10" s="85">
        <f>H16</f>
        <v>10</v>
      </c>
      <c r="I10"/>
      <c r="J10"/>
      <c r="K10"/>
      <c r="L10"/>
      <c r="M10"/>
    </row>
    <row r="11" spans="1:13" ht="14.25" hidden="1" customHeight="1" x14ac:dyDescent="0.25">
      <c r="A11" s="65"/>
      <c r="B11" s="65"/>
      <c r="C11" s="66"/>
      <c r="D11" s="67"/>
      <c r="E11" s="67"/>
      <c r="F11" s="463" t="s">
        <v>578</v>
      </c>
      <c r="G11" s="464"/>
      <c r="H11" s="68"/>
      <c r="I11"/>
      <c r="J11"/>
      <c r="K11"/>
      <c r="L11"/>
      <c r="M11"/>
    </row>
    <row r="12" spans="1:13" ht="14.25" hidden="1" customHeight="1" x14ac:dyDescent="0.25">
      <c r="A12" s="65"/>
      <c r="B12" s="65"/>
      <c r="C12" s="66"/>
      <c r="D12" s="67"/>
      <c r="E12" s="67"/>
      <c r="F12" s="456" t="s">
        <v>579</v>
      </c>
      <c r="G12" s="456"/>
      <c r="H12" s="68">
        <f>'[2]Orçamento Sintético'!F7</f>
        <v>10</v>
      </c>
      <c r="I12"/>
      <c r="J12"/>
      <c r="K12"/>
      <c r="L12"/>
      <c r="M12"/>
    </row>
    <row r="13" spans="1:13" ht="14.25" hidden="1" customHeight="1" x14ac:dyDescent="0.25">
      <c r="A13" s="65"/>
      <c r="B13" s="65"/>
      <c r="C13" s="66"/>
      <c r="D13" s="67"/>
      <c r="E13" s="67"/>
      <c r="F13" s="456" t="s">
        <v>596</v>
      </c>
      <c r="G13" s="456"/>
      <c r="H13" s="69">
        <f>H16</f>
        <v>10</v>
      </c>
      <c r="I13"/>
      <c r="J13"/>
      <c r="K13"/>
      <c r="L13"/>
      <c r="M13"/>
    </row>
    <row r="14" spans="1:13" ht="14.25" hidden="1" customHeight="1" x14ac:dyDescent="0.25">
      <c r="A14" s="65"/>
      <c r="B14" s="65"/>
      <c r="C14" s="66"/>
      <c r="D14" s="67"/>
      <c r="E14" s="67"/>
      <c r="F14" s="457" t="s">
        <v>580</v>
      </c>
      <c r="G14" s="457"/>
      <c r="H14" s="69">
        <f>H12-H13</f>
        <v>0</v>
      </c>
      <c r="I14"/>
      <c r="J14"/>
      <c r="K14"/>
      <c r="L14"/>
      <c r="M14"/>
    </row>
    <row r="15" spans="1:13" ht="14.25" hidden="1" customHeight="1" x14ac:dyDescent="0.25">
      <c r="A15" s="65"/>
      <c r="B15" s="65"/>
      <c r="C15" s="66"/>
      <c r="D15" s="70" t="s">
        <v>581</v>
      </c>
      <c r="E15" s="70" t="s">
        <v>582</v>
      </c>
      <c r="F15" s="70" t="s">
        <v>583</v>
      </c>
      <c r="G15" s="71" t="s">
        <v>584</v>
      </c>
      <c r="H15" s="75"/>
      <c r="I15" s="29"/>
      <c r="J15"/>
      <c r="K15"/>
      <c r="L15"/>
      <c r="M15"/>
    </row>
    <row r="16" spans="1:13" ht="14.25" hidden="1" customHeight="1" x14ac:dyDescent="0.25">
      <c r="A16" s="65"/>
      <c r="B16" s="72" t="s">
        <v>594</v>
      </c>
      <c r="C16" s="66" t="s">
        <v>607</v>
      </c>
      <c r="D16" s="67"/>
      <c r="E16" s="67">
        <v>2</v>
      </c>
      <c r="F16" s="73">
        <v>5</v>
      </c>
      <c r="G16" s="74"/>
      <c r="H16" s="75">
        <f>E16*F16</f>
        <v>10</v>
      </c>
      <c r="I16"/>
      <c r="J16"/>
      <c r="K16"/>
      <c r="L16"/>
      <c r="M16"/>
    </row>
    <row r="17" spans="1:13" ht="14.25" hidden="1" customHeight="1" x14ac:dyDescent="0.25">
      <c r="A17" s="65"/>
      <c r="B17" s="65"/>
      <c r="C17" s="66"/>
      <c r="D17" s="67"/>
      <c r="E17" s="67"/>
      <c r="F17" s="73"/>
      <c r="G17" s="76"/>
      <c r="H17" s="77"/>
      <c r="I17"/>
      <c r="J17"/>
      <c r="K17"/>
      <c r="L17"/>
      <c r="M17"/>
    </row>
    <row r="18" spans="1:13" ht="14.25" hidden="1" customHeight="1" x14ac:dyDescent="0.25">
      <c r="A18" s="65"/>
      <c r="B18" s="78"/>
      <c r="C18" s="66"/>
      <c r="D18" s="67"/>
      <c r="E18" s="67"/>
      <c r="F18" s="73"/>
      <c r="G18" s="76"/>
      <c r="H18" s="77"/>
      <c r="I18"/>
      <c r="J18"/>
      <c r="K18"/>
      <c r="L18"/>
      <c r="M18"/>
    </row>
    <row r="19" spans="1:13" ht="14.25" hidden="1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ht="14.25" hidden="1" customHeigh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ht="27" hidden="1" customHeight="1" x14ac:dyDescent="0.25">
      <c r="A21" s="80" t="s">
        <v>600</v>
      </c>
      <c r="B21" s="81"/>
      <c r="C21" s="82" t="str">
        <f>VLOOKUP(A21,'[2]Orçamento Sintético'!A:J,4,0)</f>
        <v>TAPUME COM COMPENSADO DE MADEIRA. AF_05/2018</v>
      </c>
      <c r="D21" s="81"/>
      <c r="E21" s="81"/>
      <c r="F21" s="462" t="s">
        <v>595</v>
      </c>
      <c r="G21" s="462"/>
      <c r="H21" s="85">
        <f>H27</f>
        <v>176</v>
      </c>
      <c r="I21"/>
      <c r="J21"/>
      <c r="K21"/>
      <c r="L21"/>
      <c r="M21"/>
    </row>
    <row r="22" spans="1:13" ht="14.25" hidden="1" customHeight="1" x14ac:dyDescent="0.25">
      <c r="A22" s="65"/>
      <c r="B22" s="65"/>
      <c r="C22" s="66"/>
      <c r="D22" s="67"/>
      <c r="E22" s="67"/>
      <c r="F22" s="463" t="s">
        <v>578</v>
      </c>
      <c r="G22" s="464"/>
      <c r="H22" s="68"/>
      <c r="I22"/>
      <c r="J22"/>
      <c r="K22"/>
      <c r="L22"/>
      <c r="M22"/>
    </row>
    <row r="23" spans="1:13" ht="14.25" hidden="1" customHeight="1" x14ac:dyDescent="0.25">
      <c r="A23" s="65"/>
      <c r="B23" s="65"/>
      <c r="C23" s="66"/>
      <c r="D23" s="67"/>
      <c r="E23" s="67"/>
      <c r="F23" s="456" t="s">
        <v>579</v>
      </c>
      <c r="G23" s="456"/>
      <c r="H23" s="68">
        <v>176</v>
      </c>
      <c r="I23"/>
      <c r="J23"/>
      <c r="K23"/>
      <c r="L23"/>
      <c r="M23"/>
    </row>
    <row r="24" spans="1:13" ht="14.25" hidden="1" customHeight="1" x14ac:dyDescent="0.25">
      <c r="A24" s="65"/>
      <c r="B24" s="65"/>
      <c r="C24" s="66"/>
      <c r="D24" s="67"/>
      <c r="E24" s="67"/>
      <c r="F24" s="456" t="s">
        <v>596</v>
      </c>
      <c r="G24" s="456"/>
      <c r="H24" s="69">
        <f>H27</f>
        <v>176</v>
      </c>
      <c r="I24"/>
      <c r="J24"/>
      <c r="K24"/>
      <c r="L24"/>
      <c r="M24"/>
    </row>
    <row r="25" spans="1:13" ht="14.25" hidden="1" customHeight="1" x14ac:dyDescent="0.25">
      <c r="A25" s="65"/>
      <c r="B25" s="65"/>
      <c r="C25" s="66"/>
      <c r="D25" s="67"/>
      <c r="E25" s="67"/>
      <c r="F25" s="457" t="s">
        <v>580</v>
      </c>
      <c r="G25" s="457"/>
      <c r="H25" s="69">
        <f>H23-H24</f>
        <v>0</v>
      </c>
      <c r="I25"/>
      <c r="J25"/>
      <c r="K25"/>
      <c r="L25"/>
      <c r="M25"/>
    </row>
    <row r="26" spans="1:13" ht="14.25" hidden="1" customHeight="1" x14ac:dyDescent="0.25">
      <c r="A26" s="65"/>
      <c r="B26" s="65"/>
      <c r="C26" s="66"/>
      <c r="D26" s="70" t="s">
        <v>581</v>
      </c>
      <c r="E26" s="70" t="s">
        <v>582</v>
      </c>
      <c r="F26" s="70" t="s">
        <v>583</v>
      </c>
      <c r="G26" s="71" t="s">
        <v>584</v>
      </c>
      <c r="H26" s="75"/>
      <c r="I26"/>
      <c r="J26"/>
      <c r="K26"/>
      <c r="L26"/>
      <c r="M26"/>
    </row>
    <row r="27" spans="1:13" ht="14.25" hidden="1" customHeight="1" x14ac:dyDescent="0.25">
      <c r="A27" s="65"/>
      <c r="B27" s="72" t="s">
        <v>594</v>
      </c>
      <c r="C27" s="66" t="s">
        <v>607</v>
      </c>
      <c r="D27" s="67"/>
      <c r="E27" s="67"/>
      <c r="F27" s="73"/>
      <c r="G27" s="74">
        <v>176</v>
      </c>
      <c r="H27" s="75">
        <f>G27</f>
        <v>176</v>
      </c>
      <c r="I27"/>
      <c r="J27"/>
      <c r="K27"/>
      <c r="L27"/>
      <c r="M27"/>
    </row>
    <row r="28" spans="1:13" ht="14.25" hidden="1" customHeight="1" x14ac:dyDescent="0.25">
      <c r="A28" s="65"/>
      <c r="B28" s="65"/>
      <c r="C28" s="66"/>
      <c r="D28" s="67"/>
      <c r="E28" s="67"/>
      <c r="F28" s="73"/>
      <c r="G28" s="76"/>
      <c r="H28" s="77"/>
      <c r="I28"/>
      <c r="J28"/>
      <c r="K28"/>
      <c r="L28"/>
      <c r="M28"/>
    </row>
    <row r="29" spans="1:13" ht="37.5" hidden="1" customHeight="1" x14ac:dyDescent="0.25">
      <c r="A29" s="80" t="s">
        <v>603</v>
      </c>
      <c r="B29" s="81"/>
      <c r="C29" s="82" t="str">
        <f>VLOOKUP(A29,'[2]Orçamento Sintético'!A:J,4,0)</f>
        <v>EXECUÇÃO DE ESCRITÓRIO EM CANTEIRO DE OBRA EM CHAPA DE MADEIRA COMPENSADA, NÃO INCLUSO MOBILIÁRIO E EQUIPAMENTOS. AF_02/2016</v>
      </c>
      <c r="D29" s="81"/>
      <c r="E29" s="81"/>
      <c r="F29" s="462" t="s">
        <v>595</v>
      </c>
      <c r="G29" s="462"/>
      <c r="H29" s="85">
        <f>H35</f>
        <v>20</v>
      </c>
      <c r="I29"/>
      <c r="J29"/>
      <c r="K29"/>
      <c r="L29"/>
      <c r="M29"/>
    </row>
    <row r="30" spans="1:13" ht="14.25" hidden="1" customHeight="1" x14ac:dyDescent="0.25">
      <c r="A30" s="65"/>
      <c r="B30" s="65"/>
      <c r="C30" s="66"/>
      <c r="D30" s="67"/>
      <c r="E30" s="67"/>
      <c r="F30" s="463" t="s">
        <v>578</v>
      </c>
      <c r="G30" s="464"/>
      <c r="H30" s="68"/>
      <c r="I30"/>
      <c r="J30"/>
      <c r="K30"/>
      <c r="L30"/>
      <c r="M30"/>
    </row>
    <row r="31" spans="1:13" ht="14.25" hidden="1" customHeight="1" x14ac:dyDescent="0.25">
      <c r="A31" s="65"/>
      <c r="B31" s="65"/>
      <c r="C31" s="66"/>
      <c r="D31" s="67"/>
      <c r="E31" s="67"/>
      <c r="F31" s="456" t="s">
        <v>579</v>
      </c>
      <c r="G31" s="456"/>
      <c r="H31" s="68">
        <v>20</v>
      </c>
      <c r="I31"/>
      <c r="J31"/>
      <c r="K31"/>
      <c r="L31"/>
      <c r="M31"/>
    </row>
    <row r="32" spans="1:13" ht="14.25" hidden="1" customHeight="1" x14ac:dyDescent="0.25">
      <c r="A32" s="65"/>
      <c r="B32" s="65"/>
      <c r="C32" s="66"/>
      <c r="D32" s="67"/>
      <c r="E32" s="67"/>
      <c r="F32" s="456" t="s">
        <v>596</v>
      </c>
      <c r="G32" s="456"/>
      <c r="H32" s="69">
        <f>H35</f>
        <v>20</v>
      </c>
      <c r="I32"/>
      <c r="J32"/>
      <c r="K32"/>
      <c r="L32"/>
      <c r="M32"/>
    </row>
    <row r="33" spans="1:13" ht="14.25" hidden="1" customHeight="1" x14ac:dyDescent="0.25">
      <c r="A33" s="65"/>
      <c r="B33" s="65"/>
      <c r="C33" s="66"/>
      <c r="D33" s="67"/>
      <c r="E33" s="67"/>
      <c r="F33" s="457" t="s">
        <v>580</v>
      </c>
      <c r="G33" s="457"/>
      <c r="H33" s="69">
        <f>H31-H32</f>
        <v>0</v>
      </c>
      <c r="I33"/>
      <c r="J33"/>
      <c r="K33"/>
      <c r="L33"/>
      <c r="M33"/>
    </row>
    <row r="34" spans="1:13" ht="14.25" hidden="1" customHeight="1" x14ac:dyDescent="0.25">
      <c r="A34" s="65"/>
      <c r="B34" s="65"/>
      <c r="C34" s="66"/>
      <c r="D34" s="70" t="s">
        <v>581</v>
      </c>
      <c r="E34" s="70" t="s">
        <v>582</v>
      </c>
      <c r="F34" s="70" t="s">
        <v>583</v>
      </c>
      <c r="G34" s="71" t="s">
        <v>584</v>
      </c>
      <c r="H34" s="75"/>
      <c r="I34"/>
      <c r="J34"/>
      <c r="K34"/>
      <c r="L34"/>
      <c r="M34"/>
    </row>
    <row r="35" spans="1:13" ht="14.25" hidden="1" customHeight="1" x14ac:dyDescent="0.25">
      <c r="A35" s="65"/>
      <c r="B35" s="72" t="s">
        <v>594</v>
      </c>
      <c r="C35" s="66" t="s">
        <v>608</v>
      </c>
      <c r="D35" s="67"/>
      <c r="E35" s="67"/>
      <c r="F35" s="73"/>
      <c r="G35" s="74">
        <v>20</v>
      </c>
      <c r="H35" s="75">
        <f>G35</f>
        <v>20</v>
      </c>
      <c r="I35"/>
      <c r="J35"/>
      <c r="K35"/>
      <c r="L35"/>
      <c r="M35"/>
    </row>
    <row r="36" spans="1:13" ht="14.25" hidden="1" customHeigh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37.5" hidden="1" customHeight="1" x14ac:dyDescent="0.25">
      <c r="A37" s="80" t="s">
        <v>604</v>
      </c>
      <c r="B37" s="81"/>
      <c r="C37" s="82" t="str">
        <f>VLOOKUP(A37,'[2]Orçamento Sintético'!A:J,4,0)</f>
        <v>EXECUÇÃO DE DEPÓSITO EM CANTEIRO DE OBRA EM CHAPA DE MADEIRA COMPENSADA, NÃO INCLUSO MOBILIÁRIO. AF_04/2016</v>
      </c>
      <c r="D37" s="81"/>
      <c r="E37" s="81"/>
      <c r="F37" s="462" t="s">
        <v>595</v>
      </c>
      <c r="G37" s="462"/>
      <c r="H37" s="85">
        <f>H43</f>
        <v>20</v>
      </c>
      <c r="I37"/>
      <c r="J37"/>
      <c r="K37"/>
      <c r="L37"/>
      <c r="M37"/>
    </row>
    <row r="38" spans="1:13" ht="14.25" hidden="1" customHeight="1" x14ac:dyDescent="0.25">
      <c r="A38" s="65"/>
      <c r="B38" s="65"/>
      <c r="C38" s="66"/>
      <c r="D38" s="67"/>
      <c r="E38" s="67"/>
      <c r="F38" s="463" t="s">
        <v>578</v>
      </c>
      <c r="G38" s="464"/>
      <c r="H38" s="68"/>
      <c r="I38"/>
      <c r="J38"/>
      <c r="K38"/>
      <c r="L38"/>
      <c r="M38"/>
    </row>
    <row r="39" spans="1:13" ht="14.25" hidden="1" customHeight="1" x14ac:dyDescent="0.25">
      <c r="A39" s="65"/>
      <c r="B39" s="65"/>
      <c r="C39" s="66"/>
      <c r="D39" s="67"/>
      <c r="E39" s="67"/>
      <c r="F39" s="456" t="s">
        <v>579</v>
      </c>
      <c r="G39" s="456"/>
      <c r="H39" s="68">
        <v>20</v>
      </c>
      <c r="I39"/>
      <c r="J39"/>
      <c r="K39"/>
      <c r="L39"/>
      <c r="M39"/>
    </row>
    <row r="40" spans="1:13" ht="14.25" hidden="1" customHeight="1" x14ac:dyDescent="0.25">
      <c r="A40" s="65"/>
      <c r="B40" s="65"/>
      <c r="C40" s="66"/>
      <c r="D40" s="67"/>
      <c r="E40" s="67"/>
      <c r="F40" s="456" t="s">
        <v>596</v>
      </c>
      <c r="G40" s="456"/>
      <c r="H40" s="69">
        <f>H43</f>
        <v>20</v>
      </c>
      <c r="I40"/>
      <c r="J40"/>
      <c r="K40"/>
      <c r="L40"/>
      <c r="M40"/>
    </row>
    <row r="41" spans="1:13" ht="14.25" hidden="1" customHeight="1" x14ac:dyDescent="0.25">
      <c r="A41" s="65"/>
      <c r="B41" s="65"/>
      <c r="C41" s="66"/>
      <c r="D41" s="67"/>
      <c r="E41" s="67"/>
      <c r="F41" s="457" t="s">
        <v>580</v>
      </c>
      <c r="G41" s="457"/>
      <c r="H41" s="69">
        <f>H39-H40</f>
        <v>0</v>
      </c>
      <c r="I41"/>
      <c r="J41"/>
      <c r="K41"/>
      <c r="L41"/>
      <c r="M41"/>
    </row>
    <row r="42" spans="1:13" ht="14.25" hidden="1" customHeight="1" x14ac:dyDescent="0.25">
      <c r="A42" s="65"/>
      <c r="B42" s="65"/>
      <c r="C42" s="66"/>
      <c r="D42" s="70" t="s">
        <v>581</v>
      </c>
      <c r="E42" s="70" t="s">
        <v>582</v>
      </c>
      <c r="F42" s="70" t="s">
        <v>583</v>
      </c>
      <c r="G42" s="71" t="s">
        <v>584</v>
      </c>
      <c r="H42" s="75"/>
      <c r="I42"/>
      <c r="J42"/>
      <c r="K42"/>
      <c r="L42"/>
      <c r="M42"/>
    </row>
    <row r="43" spans="1:13" ht="14.25" hidden="1" customHeight="1" x14ac:dyDescent="0.25">
      <c r="A43" s="65"/>
      <c r="B43" s="72" t="s">
        <v>594</v>
      </c>
      <c r="C43" s="66" t="s">
        <v>609</v>
      </c>
      <c r="D43" s="67"/>
      <c r="E43" s="67"/>
      <c r="F43" s="73"/>
      <c r="G43" s="74">
        <v>20</v>
      </c>
      <c r="H43" s="75">
        <f>G43</f>
        <v>20</v>
      </c>
      <c r="I43"/>
      <c r="J43"/>
      <c r="K43"/>
      <c r="L43"/>
      <c r="M43"/>
    </row>
    <row r="44" spans="1:13" ht="14.25" hidden="1" customHeigh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</row>
    <row r="45" spans="1:13" ht="37.5" hidden="1" customHeight="1" x14ac:dyDescent="0.25">
      <c r="A45" s="80" t="s">
        <v>606</v>
      </c>
      <c r="B45" s="81"/>
      <c r="C45" s="82" t="str">
        <f>VLOOKUP(A45,'[2]Orçamento Sintético'!A:J,4,0)</f>
        <v>LIMPEZA MECANIZADA DE CAMADA VEGETAL, VEGETAÇÃO E PEQUENAS ÁRVORES (DIÂMETRO DE TRONCO MENOR QUE 0,20 M), COM TRATOR DE ESTEIRAS.AF_05/2018</v>
      </c>
      <c r="D45" s="81"/>
      <c r="E45" s="81"/>
      <c r="F45" s="462" t="s">
        <v>595</v>
      </c>
      <c r="G45" s="462"/>
      <c r="H45" s="85">
        <f>H51</f>
        <v>4000</v>
      </c>
      <c r="I45"/>
      <c r="J45"/>
      <c r="K45"/>
      <c r="L45"/>
      <c r="M45"/>
    </row>
    <row r="46" spans="1:13" ht="14.25" hidden="1" customHeight="1" x14ac:dyDescent="0.25">
      <c r="A46" s="65"/>
      <c r="B46" s="65"/>
      <c r="C46" s="66"/>
      <c r="D46" s="67"/>
      <c r="E46" s="67"/>
      <c r="F46" s="463" t="s">
        <v>578</v>
      </c>
      <c r="G46" s="464"/>
      <c r="H46" s="68"/>
      <c r="I46"/>
      <c r="J46"/>
      <c r="K46"/>
      <c r="L46"/>
      <c r="M46"/>
    </row>
    <row r="47" spans="1:13" ht="14.25" hidden="1" customHeight="1" x14ac:dyDescent="0.25">
      <c r="A47" s="65"/>
      <c r="B47" s="65"/>
      <c r="C47" s="66"/>
      <c r="D47" s="67"/>
      <c r="E47" s="67"/>
      <c r="F47" s="456" t="s">
        <v>579</v>
      </c>
      <c r="G47" s="456"/>
      <c r="H47" s="68">
        <v>4000</v>
      </c>
      <c r="I47"/>
      <c r="J47"/>
      <c r="K47"/>
      <c r="L47"/>
      <c r="M47"/>
    </row>
    <row r="48" spans="1:13" ht="14.25" hidden="1" customHeight="1" x14ac:dyDescent="0.25">
      <c r="A48" s="65"/>
      <c r="B48" s="65"/>
      <c r="C48" s="66"/>
      <c r="D48" s="67"/>
      <c r="E48" s="67"/>
      <c r="F48" s="456" t="s">
        <v>596</v>
      </c>
      <c r="G48" s="456"/>
      <c r="H48" s="69">
        <f>H51</f>
        <v>4000</v>
      </c>
      <c r="I48"/>
      <c r="J48"/>
      <c r="K48"/>
      <c r="L48"/>
      <c r="M48"/>
    </row>
    <row r="49" spans="1:13" ht="14.25" hidden="1" customHeight="1" x14ac:dyDescent="0.25">
      <c r="A49" s="65"/>
      <c r="B49" s="65"/>
      <c r="C49" s="66"/>
      <c r="D49" s="67"/>
      <c r="E49" s="67"/>
      <c r="F49" s="457" t="s">
        <v>580</v>
      </c>
      <c r="G49" s="457"/>
      <c r="H49" s="69">
        <f>H47-H48</f>
        <v>0</v>
      </c>
      <c r="I49"/>
      <c r="J49"/>
      <c r="K49"/>
      <c r="L49"/>
      <c r="M49"/>
    </row>
    <row r="50" spans="1:13" ht="14.25" hidden="1" customHeight="1" x14ac:dyDescent="0.25">
      <c r="A50" s="65"/>
      <c r="B50" s="65"/>
      <c r="C50" s="66"/>
      <c r="D50" s="70" t="s">
        <v>581</v>
      </c>
      <c r="E50" s="70" t="s">
        <v>582</v>
      </c>
      <c r="F50" s="70" t="s">
        <v>583</v>
      </c>
      <c r="G50" s="71" t="s">
        <v>584</v>
      </c>
      <c r="H50" s="75"/>
      <c r="I50"/>
      <c r="J50"/>
      <c r="K50"/>
      <c r="L50"/>
      <c r="M50"/>
    </row>
    <row r="51" spans="1:13" ht="14.25" hidden="1" customHeight="1" x14ac:dyDescent="0.25">
      <c r="A51" s="65"/>
      <c r="B51" s="72" t="s">
        <v>594</v>
      </c>
      <c r="C51" s="66" t="s">
        <v>610</v>
      </c>
      <c r="D51" s="67"/>
      <c r="E51" s="67"/>
      <c r="F51" s="73"/>
      <c r="G51" s="74">
        <v>4000</v>
      </c>
      <c r="H51" s="75">
        <f>G51</f>
        <v>4000</v>
      </c>
      <c r="I51"/>
      <c r="J51"/>
      <c r="K51"/>
      <c r="L51"/>
      <c r="M51"/>
    </row>
    <row r="52" spans="1:13" ht="14.25" hidden="1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</row>
    <row r="53" spans="1:13" ht="37.5" hidden="1" customHeight="1" x14ac:dyDescent="0.25">
      <c r="A53" s="80" t="s">
        <v>598</v>
      </c>
      <c r="B53" s="81"/>
      <c r="C53" s="82" t="str">
        <f>VLOOKUP(A53,'[2]Orçamento Sintético'!A:J,4,0)</f>
        <v>INSTALAÇÕES PROVISÓRIAS DE LUZ , FORÇA,TELEFONE E LÓGICA</v>
      </c>
      <c r="D53" s="81"/>
      <c r="E53" s="81"/>
      <c r="F53" s="462" t="s">
        <v>611</v>
      </c>
      <c r="G53" s="462"/>
      <c r="H53" s="85">
        <f>H55</f>
        <v>1</v>
      </c>
      <c r="I53"/>
      <c r="J53"/>
      <c r="K53"/>
      <c r="L53"/>
      <c r="M53"/>
    </row>
    <row r="54" spans="1:13" ht="14.25" hidden="1" customHeight="1" x14ac:dyDescent="0.25">
      <c r="A54" s="65"/>
      <c r="B54" s="65"/>
      <c r="C54" s="66"/>
      <c r="D54" s="67"/>
      <c r="E54" s="67"/>
      <c r="F54" s="463" t="s">
        <v>578</v>
      </c>
      <c r="G54" s="464"/>
      <c r="H54" s="68"/>
      <c r="I54"/>
      <c r="J54"/>
      <c r="K54"/>
      <c r="L54"/>
      <c r="M54"/>
    </row>
    <row r="55" spans="1:13" ht="14.25" hidden="1" customHeight="1" x14ac:dyDescent="0.25">
      <c r="A55" s="65"/>
      <c r="B55" s="65"/>
      <c r="C55" s="66"/>
      <c r="D55" s="67"/>
      <c r="E55" s="67"/>
      <c r="F55" s="456" t="s">
        <v>579</v>
      </c>
      <c r="G55" s="456"/>
      <c r="H55" s="68">
        <f>'[2]Orçamento Sintético'!F9</f>
        <v>1</v>
      </c>
      <c r="I55"/>
      <c r="J55"/>
      <c r="K55"/>
      <c r="L55"/>
      <c r="M55"/>
    </row>
    <row r="56" spans="1:13" ht="14.25" hidden="1" customHeight="1" x14ac:dyDescent="0.25">
      <c r="A56" s="65"/>
      <c r="B56" s="65"/>
      <c r="C56" s="66"/>
      <c r="D56" s="67"/>
      <c r="E56" s="67"/>
      <c r="F56" s="456" t="s">
        <v>596</v>
      </c>
      <c r="G56" s="456"/>
      <c r="H56" s="69">
        <f>H59</f>
        <v>1</v>
      </c>
      <c r="I56"/>
      <c r="J56"/>
      <c r="K56"/>
      <c r="L56"/>
      <c r="M56"/>
    </row>
    <row r="57" spans="1:13" ht="14.25" hidden="1" customHeight="1" x14ac:dyDescent="0.25">
      <c r="A57" s="65"/>
      <c r="B57" s="65"/>
      <c r="C57" s="66"/>
      <c r="D57" s="67"/>
      <c r="E57" s="67"/>
      <c r="F57" s="457" t="s">
        <v>580</v>
      </c>
      <c r="G57" s="457"/>
      <c r="H57" s="69">
        <f>H55-H56</f>
        <v>0</v>
      </c>
      <c r="I57"/>
      <c r="J57"/>
      <c r="K57"/>
      <c r="L57"/>
      <c r="M57"/>
    </row>
    <row r="58" spans="1:13" ht="14.25" hidden="1" customHeight="1" x14ac:dyDescent="0.25">
      <c r="A58" s="65"/>
      <c r="B58" s="65"/>
      <c r="C58" s="66"/>
      <c r="D58" s="70" t="s">
        <v>581</v>
      </c>
      <c r="E58" s="70" t="s">
        <v>582</v>
      </c>
      <c r="F58" s="70" t="s">
        <v>583</v>
      </c>
      <c r="G58" s="71" t="s">
        <v>584</v>
      </c>
      <c r="H58" s="75"/>
      <c r="I58"/>
      <c r="J58"/>
      <c r="K58"/>
      <c r="L58"/>
      <c r="M58"/>
    </row>
    <row r="59" spans="1:13" ht="14.25" hidden="1" customHeight="1" x14ac:dyDescent="0.25">
      <c r="A59" s="65"/>
      <c r="B59" s="72" t="s">
        <v>612</v>
      </c>
      <c r="C59" s="66" t="s">
        <v>613</v>
      </c>
      <c r="D59" s="67"/>
      <c r="E59" s="67"/>
      <c r="F59" s="73"/>
      <c r="G59" s="74">
        <v>1</v>
      </c>
      <c r="H59" s="75">
        <f>G59</f>
        <v>1</v>
      </c>
      <c r="I59"/>
      <c r="J59"/>
      <c r="K59"/>
      <c r="L59"/>
      <c r="M59"/>
    </row>
    <row r="60" spans="1:13" ht="14.25" hidden="1" customHeight="1" x14ac:dyDescent="0.25">
      <c r="A60"/>
      <c r="B60"/>
      <c r="C60"/>
      <c r="D60"/>
      <c r="E60"/>
      <c r="F60"/>
      <c r="G60"/>
      <c r="H60"/>
      <c r="I60"/>
      <c r="J60"/>
      <c r="K60"/>
      <c r="L60"/>
      <c r="M60"/>
    </row>
    <row r="61" spans="1:13" ht="37.5" hidden="1" customHeight="1" x14ac:dyDescent="0.25">
      <c r="A61" s="80" t="s">
        <v>601</v>
      </c>
      <c r="B61" s="81"/>
      <c r="C61" s="82" t="str">
        <f>VLOOKUP(A61,'[2]Orçamento Sintético'!A:J,4,0)</f>
        <v>EXECUÇÃO DE RESERVATÓRIO ELEVADO DE ÁGUA (1000 LITROS) EM CANTEIRO DE OBRA, APOIADO EM ESTRUTURA DE MADEIRA. AF_02/2016_PA</v>
      </c>
      <c r="D61" s="81"/>
      <c r="E61" s="81"/>
      <c r="F61" s="462" t="s">
        <v>611</v>
      </c>
      <c r="G61" s="462"/>
      <c r="H61" s="85">
        <f>H67</f>
        <v>1</v>
      </c>
      <c r="I61"/>
      <c r="J61"/>
      <c r="K61"/>
      <c r="L61"/>
      <c r="M61"/>
    </row>
    <row r="62" spans="1:13" ht="14.25" hidden="1" customHeight="1" x14ac:dyDescent="0.25">
      <c r="A62" s="65"/>
      <c r="B62" s="65"/>
      <c r="C62" s="66"/>
      <c r="D62" s="67"/>
      <c r="E62" s="67"/>
      <c r="F62" s="463" t="s">
        <v>578</v>
      </c>
      <c r="G62" s="464"/>
      <c r="H62" s="68"/>
      <c r="I62"/>
      <c r="J62"/>
      <c r="K62"/>
      <c r="L62"/>
      <c r="M62"/>
    </row>
    <row r="63" spans="1:13" ht="14.25" hidden="1" customHeight="1" x14ac:dyDescent="0.25">
      <c r="A63" s="65"/>
      <c r="B63" s="65"/>
      <c r="C63" s="66"/>
      <c r="D63" s="67"/>
      <c r="E63" s="67"/>
      <c r="F63" s="456" t="s">
        <v>579</v>
      </c>
      <c r="G63" s="456"/>
      <c r="H63" s="68">
        <f>'[2]Orçamento Sintético'!F10</f>
        <v>1</v>
      </c>
      <c r="I63"/>
      <c r="J63"/>
      <c r="K63"/>
      <c r="L63"/>
      <c r="M63"/>
    </row>
    <row r="64" spans="1:13" ht="14.25" hidden="1" customHeight="1" x14ac:dyDescent="0.25">
      <c r="A64" s="65"/>
      <c r="B64" s="65"/>
      <c r="C64" s="66"/>
      <c r="D64" s="67"/>
      <c r="E64" s="67"/>
      <c r="F64" s="456" t="s">
        <v>596</v>
      </c>
      <c r="G64" s="456"/>
      <c r="H64" s="69">
        <f>H67</f>
        <v>1</v>
      </c>
      <c r="I64"/>
      <c r="J64"/>
      <c r="K64"/>
      <c r="L64"/>
      <c r="M64"/>
    </row>
    <row r="65" spans="1:13" ht="14.25" hidden="1" customHeight="1" x14ac:dyDescent="0.25">
      <c r="A65" s="65"/>
      <c r="B65" s="65"/>
      <c r="C65" s="66"/>
      <c r="D65" s="67"/>
      <c r="E65" s="67"/>
      <c r="F65" s="457" t="s">
        <v>580</v>
      </c>
      <c r="G65" s="457"/>
      <c r="H65" s="69">
        <f>H63-H64</f>
        <v>0</v>
      </c>
      <c r="I65"/>
      <c r="J65"/>
      <c r="K65"/>
      <c r="L65"/>
      <c r="M65"/>
    </row>
    <row r="66" spans="1:13" ht="14.25" hidden="1" customHeight="1" x14ac:dyDescent="0.25">
      <c r="A66" s="65"/>
      <c r="B66" s="65"/>
      <c r="C66" s="66"/>
      <c r="D66" s="70" t="s">
        <v>581</v>
      </c>
      <c r="E66" s="70" t="s">
        <v>582</v>
      </c>
      <c r="F66" s="70" t="s">
        <v>583</v>
      </c>
      <c r="G66" s="71" t="s">
        <v>584</v>
      </c>
      <c r="H66" s="75"/>
      <c r="I66"/>
      <c r="J66"/>
      <c r="K66"/>
      <c r="L66"/>
      <c r="M66"/>
    </row>
    <row r="67" spans="1:13" ht="14.25" hidden="1" customHeight="1" x14ac:dyDescent="0.25">
      <c r="A67" s="65"/>
      <c r="B67" s="72" t="s">
        <v>612</v>
      </c>
      <c r="C67" s="66" t="s">
        <v>614</v>
      </c>
      <c r="D67" s="67"/>
      <c r="E67" s="67"/>
      <c r="F67" s="73"/>
      <c r="G67" s="74">
        <v>1</v>
      </c>
      <c r="H67" s="75">
        <f>G67</f>
        <v>1</v>
      </c>
      <c r="I67"/>
      <c r="J67"/>
      <c r="K67"/>
      <c r="L67"/>
      <c r="M67"/>
    </row>
    <row r="68" spans="1:13" ht="14.25" hidden="1" customHeight="1" x14ac:dyDescent="0.25">
      <c r="A68"/>
      <c r="B68"/>
      <c r="C68"/>
      <c r="D68"/>
      <c r="E68"/>
      <c r="F68"/>
      <c r="G68"/>
      <c r="H68"/>
      <c r="I68"/>
      <c r="J68"/>
      <c r="K68"/>
      <c r="L68"/>
      <c r="M68"/>
    </row>
    <row r="69" spans="1:13" ht="37.5" hidden="1" customHeight="1" x14ac:dyDescent="0.25">
      <c r="A69" s="80" t="s">
        <v>599</v>
      </c>
      <c r="B69" s="81"/>
      <c r="C69" s="82" t="str">
        <f>VLOOKUP(A69,'[2]Orçamento Sintético'!A:J,4,0)</f>
        <v>FOSSA SÉPTICA E SUMIDOURO  EM ALVENARIA</v>
      </c>
      <c r="D69" s="81"/>
      <c r="E69" s="81"/>
      <c r="F69" s="462" t="s">
        <v>611</v>
      </c>
      <c r="G69" s="462"/>
      <c r="H69" s="85">
        <f>H75</f>
        <v>1</v>
      </c>
      <c r="I69"/>
      <c r="J69"/>
      <c r="K69"/>
      <c r="L69"/>
      <c r="M69"/>
    </row>
    <row r="70" spans="1:13" ht="14.25" hidden="1" customHeight="1" x14ac:dyDescent="0.25">
      <c r="A70" s="65"/>
      <c r="B70" s="65"/>
      <c r="C70" s="66"/>
      <c r="D70" s="67"/>
      <c r="E70" s="67"/>
      <c r="F70" s="463" t="s">
        <v>578</v>
      </c>
      <c r="G70" s="464"/>
      <c r="H70" s="68"/>
      <c r="I70"/>
      <c r="J70"/>
      <c r="K70"/>
      <c r="L70"/>
      <c r="M70"/>
    </row>
    <row r="71" spans="1:13" ht="14.25" hidden="1" customHeight="1" x14ac:dyDescent="0.25">
      <c r="A71" s="65"/>
      <c r="B71" s="65"/>
      <c r="C71" s="66"/>
      <c r="D71" s="67"/>
      <c r="E71" s="67"/>
      <c r="F71" s="456" t="s">
        <v>579</v>
      </c>
      <c r="G71" s="456"/>
      <c r="H71" s="68">
        <f>'[2]Orçamento Sintético'!F11</f>
        <v>1</v>
      </c>
      <c r="I71"/>
      <c r="J71"/>
      <c r="K71"/>
      <c r="L71"/>
      <c r="M71"/>
    </row>
    <row r="72" spans="1:13" ht="14.25" hidden="1" customHeight="1" x14ac:dyDescent="0.25">
      <c r="A72" s="65"/>
      <c r="B72" s="65"/>
      <c r="C72" s="66"/>
      <c r="D72" s="67"/>
      <c r="E72" s="67"/>
      <c r="F72" s="456" t="s">
        <v>596</v>
      </c>
      <c r="G72" s="456"/>
      <c r="H72" s="69">
        <f>H75</f>
        <v>1</v>
      </c>
      <c r="I72"/>
      <c r="J72"/>
      <c r="K72"/>
      <c r="L72"/>
      <c r="M72"/>
    </row>
    <row r="73" spans="1:13" ht="14.25" hidden="1" customHeight="1" x14ac:dyDescent="0.25">
      <c r="A73" s="65"/>
      <c r="B73" s="65"/>
      <c r="C73" s="66"/>
      <c r="D73" s="67"/>
      <c r="E73" s="67"/>
      <c r="F73" s="457" t="s">
        <v>580</v>
      </c>
      <c r="G73" s="457"/>
      <c r="H73" s="69">
        <f>H71-H72</f>
        <v>0</v>
      </c>
      <c r="I73"/>
      <c r="J73"/>
      <c r="K73"/>
      <c r="L73"/>
      <c r="M73"/>
    </row>
    <row r="74" spans="1:13" ht="14.25" hidden="1" customHeight="1" x14ac:dyDescent="0.25">
      <c r="A74" s="65"/>
      <c r="B74" s="65"/>
      <c r="C74" s="66"/>
      <c r="D74" s="70" t="s">
        <v>581</v>
      </c>
      <c r="E74" s="70" t="s">
        <v>582</v>
      </c>
      <c r="F74" s="70" t="s">
        <v>583</v>
      </c>
      <c r="G74" s="71" t="s">
        <v>584</v>
      </c>
      <c r="H74" s="75"/>
      <c r="I74"/>
      <c r="J74"/>
      <c r="K74"/>
      <c r="L74"/>
      <c r="M74"/>
    </row>
    <row r="75" spans="1:13" ht="14.25" hidden="1" customHeight="1" x14ac:dyDescent="0.25">
      <c r="A75" s="65"/>
      <c r="B75" s="72" t="s">
        <v>612</v>
      </c>
      <c r="C75" s="66" t="s">
        <v>615</v>
      </c>
      <c r="D75" s="67"/>
      <c r="E75" s="67"/>
      <c r="F75" s="73"/>
      <c r="G75" s="74">
        <v>1</v>
      </c>
      <c r="H75" s="75">
        <f>G75</f>
        <v>1</v>
      </c>
      <c r="I75"/>
      <c r="J75"/>
      <c r="K75"/>
      <c r="L75"/>
      <c r="M75"/>
    </row>
    <row r="76" spans="1:13" ht="14.25" hidden="1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</row>
    <row r="77" spans="1:13" ht="37.5" hidden="1" customHeight="1" x14ac:dyDescent="0.25">
      <c r="A77" s="80" t="s">
        <v>602</v>
      </c>
      <c r="B77" s="81"/>
      <c r="C77" s="82" t="str">
        <f>VLOOKUP(A77,'[2]Orçamento Sintético'!A:J,4,0)</f>
        <v>EXECUÇÃO DE SANITÁRIO E VESTIÁRIO EM CANTEIRO DE OBRA EM CHAPA DE MADEIRA COMPENSADA, NÃO INCLUSO MOBILIÁRIO. AF_02/2016</v>
      </c>
      <c r="D77" s="81"/>
      <c r="E77" s="81"/>
      <c r="F77" s="462" t="s">
        <v>611</v>
      </c>
      <c r="G77" s="462"/>
      <c r="H77" s="85">
        <f>H83</f>
        <v>2.52</v>
      </c>
      <c r="I77"/>
      <c r="J77"/>
      <c r="K77"/>
      <c r="L77"/>
      <c r="M77"/>
    </row>
    <row r="78" spans="1:13" ht="14.25" hidden="1" customHeight="1" x14ac:dyDescent="0.25">
      <c r="A78" s="65"/>
      <c r="B78" s="65"/>
      <c r="C78" s="66"/>
      <c r="D78" s="67"/>
      <c r="E78" s="67"/>
      <c r="F78" s="463" t="s">
        <v>578</v>
      </c>
      <c r="G78" s="464"/>
      <c r="H78" s="68"/>
      <c r="I78"/>
      <c r="J78"/>
      <c r="K78"/>
      <c r="L78"/>
      <c r="M78"/>
    </row>
    <row r="79" spans="1:13" ht="14.25" hidden="1" customHeight="1" x14ac:dyDescent="0.25">
      <c r="A79" s="65"/>
      <c r="B79" s="65"/>
      <c r="C79" s="66"/>
      <c r="D79" s="67"/>
      <c r="E79" s="67"/>
      <c r="F79" s="456" t="s">
        <v>579</v>
      </c>
      <c r="G79" s="456"/>
      <c r="H79" s="68">
        <f>VLOOKUP(A77,'[2]Orçamento Sintético'!A:J,6,0)</f>
        <v>2.52</v>
      </c>
      <c r="I79"/>
      <c r="J79"/>
      <c r="K79"/>
      <c r="L79"/>
      <c r="M79"/>
    </row>
    <row r="80" spans="1:13" ht="14.25" hidden="1" customHeight="1" x14ac:dyDescent="0.25">
      <c r="A80" s="65"/>
      <c r="B80" s="65"/>
      <c r="C80" s="66"/>
      <c r="D80" s="67"/>
      <c r="E80" s="67"/>
      <c r="F80" s="456" t="s">
        <v>596</v>
      </c>
      <c r="G80" s="456"/>
      <c r="H80" s="69">
        <f>H83</f>
        <v>2.52</v>
      </c>
      <c r="I80"/>
      <c r="J80"/>
      <c r="K80"/>
      <c r="L80"/>
      <c r="M80"/>
    </row>
    <row r="81" spans="1:13" ht="14.25" hidden="1" customHeight="1" x14ac:dyDescent="0.25">
      <c r="A81" s="65"/>
      <c r="B81" s="65"/>
      <c r="C81" s="66"/>
      <c r="D81" s="67"/>
      <c r="E81" s="67"/>
      <c r="F81" s="457" t="s">
        <v>580</v>
      </c>
      <c r="G81" s="457"/>
      <c r="H81" s="69">
        <f>H79-H80</f>
        <v>0</v>
      </c>
      <c r="I81"/>
      <c r="J81"/>
      <c r="K81"/>
      <c r="L81"/>
      <c r="M81"/>
    </row>
    <row r="82" spans="1:13" ht="14.25" hidden="1" customHeight="1" x14ac:dyDescent="0.25">
      <c r="A82" s="65"/>
      <c r="B82" s="65"/>
      <c r="C82" s="66"/>
      <c r="D82" s="70" t="s">
        <v>581</v>
      </c>
      <c r="E82" s="70" t="s">
        <v>582</v>
      </c>
      <c r="F82" s="70" t="s">
        <v>583</v>
      </c>
      <c r="G82" s="71" t="s">
        <v>584</v>
      </c>
      <c r="H82" s="75"/>
      <c r="I82"/>
      <c r="J82"/>
      <c r="K82"/>
      <c r="L82"/>
      <c r="M82"/>
    </row>
    <row r="83" spans="1:13" ht="14.25" hidden="1" customHeight="1" x14ac:dyDescent="0.25">
      <c r="A83" s="65"/>
      <c r="B83" s="72" t="s">
        <v>612</v>
      </c>
      <c r="C83" s="66" t="s">
        <v>616</v>
      </c>
      <c r="D83" s="67"/>
      <c r="E83" s="67"/>
      <c r="F83" s="73"/>
      <c r="G83" s="74">
        <v>2.52</v>
      </c>
      <c r="H83" s="75">
        <f>G83</f>
        <v>2.52</v>
      </c>
      <c r="I83"/>
      <c r="J83"/>
      <c r="K83"/>
      <c r="L83"/>
      <c r="M83"/>
    </row>
    <row r="84" spans="1:13" ht="14.25" hidden="1" customHeight="1" x14ac:dyDescent="0.25">
      <c r="A84"/>
      <c r="B84"/>
      <c r="C84"/>
      <c r="D84"/>
      <c r="E84"/>
      <c r="F84"/>
      <c r="G84"/>
      <c r="H84"/>
      <c r="I84"/>
      <c r="J84"/>
      <c r="K84"/>
      <c r="L84"/>
      <c r="M84"/>
    </row>
    <row r="85" spans="1:13" ht="37.5" hidden="1" customHeight="1" x14ac:dyDescent="0.25">
      <c r="A85" s="80" t="s">
        <v>605</v>
      </c>
      <c r="B85" s="81"/>
      <c r="C85" s="82" t="str">
        <f>VLOOKUP(A85,'[2]Orçamento Sintético'!A:J,4,0)</f>
        <v>LOCAÇÃO DA OBRA - EXECUÇÃO DE GABARITO</v>
      </c>
      <c r="D85" s="81"/>
      <c r="E85" s="81" t="str">
        <f>VLOOKUP(A85,'[2]Orçamento Sintético'!A:J,5,0)</f>
        <v>m²</v>
      </c>
      <c r="F85" s="462" t="s">
        <v>1084</v>
      </c>
      <c r="G85" s="462"/>
      <c r="H85" s="85">
        <f>SUM(H94:H98)</f>
        <v>386.84799999999996</v>
      </c>
      <c r="I85" s="216"/>
      <c r="J85"/>
      <c r="K85"/>
      <c r="L85"/>
      <c r="M85"/>
    </row>
    <row r="86" spans="1:13" ht="14.25" hidden="1" customHeight="1" x14ac:dyDescent="0.25">
      <c r="A86" s="65"/>
      <c r="B86" s="65"/>
      <c r="C86" s="66"/>
      <c r="D86" s="67"/>
      <c r="E86" s="67"/>
      <c r="F86" s="463" t="s">
        <v>578</v>
      </c>
      <c r="G86" s="464"/>
      <c r="H86" s="68"/>
      <c r="I86"/>
      <c r="J86"/>
      <c r="K86"/>
      <c r="L86"/>
      <c r="M86"/>
    </row>
    <row r="87" spans="1:13" ht="14.25" hidden="1" customHeight="1" x14ac:dyDescent="0.25">
      <c r="A87" s="65"/>
      <c r="B87" s="65"/>
      <c r="C87" s="66"/>
      <c r="D87" s="67"/>
      <c r="E87" s="67"/>
      <c r="F87" s="456" t="s">
        <v>579</v>
      </c>
      <c r="G87" s="456"/>
      <c r="H87" s="68">
        <f>VLOOKUP(A85,'[2]Orçamento Sintético'!A:J,6,0)</f>
        <v>1129.6400000000001</v>
      </c>
      <c r="I87"/>
      <c r="J87"/>
      <c r="K87"/>
      <c r="L87"/>
      <c r="M87"/>
    </row>
    <row r="88" spans="1:13" ht="14.25" hidden="1" customHeight="1" x14ac:dyDescent="0.25">
      <c r="A88" s="65"/>
      <c r="B88" s="65"/>
      <c r="C88" s="66"/>
      <c r="D88" s="67"/>
      <c r="E88" s="67"/>
      <c r="F88" s="456" t="s">
        <v>596</v>
      </c>
      <c r="G88" s="456"/>
      <c r="H88" s="69">
        <f>SUM(H91:H98)</f>
        <v>1129.6391999999998</v>
      </c>
      <c r="I88"/>
      <c r="J88"/>
      <c r="K88"/>
      <c r="L88"/>
      <c r="M88"/>
    </row>
    <row r="89" spans="1:13" ht="14.25" hidden="1" customHeight="1" x14ac:dyDescent="0.25">
      <c r="A89" s="65"/>
      <c r="B89" s="65"/>
      <c r="C89" s="66"/>
      <c r="D89" s="67"/>
      <c r="E89" s="67"/>
      <c r="F89" s="457" t="s">
        <v>580</v>
      </c>
      <c r="G89" s="457"/>
      <c r="H89" s="264">
        <f>H87-H88</f>
        <v>8.0000000025393092E-4</v>
      </c>
      <c r="I89"/>
      <c r="J89"/>
      <c r="K89"/>
      <c r="L89"/>
      <c r="M89"/>
    </row>
    <row r="90" spans="1:13" ht="14.25" hidden="1" customHeight="1" x14ac:dyDescent="0.25">
      <c r="A90" s="65"/>
      <c r="B90" s="65"/>
      <c r="C90" s="66"/>
      <c r="D90" s="70" t="s">
        <v>971</v>
      </c>
      <c r="E90" s="70" t="s">
        <v>972</v>
      </c>
      <c r="F90" s="70" t="s">
        <v>976</v>
      </c>
      <c r="G90" s="71" t="s">
        <v>584</v>
      </c>
      <c r="H90" s="75"/>
      <c r="I90"/>
      <c r="J90"/>
      <c r="K90"/>
      <c r="L90"/>
      <c r="M90"/>
    </row>
    <row r="91" spans="1:13" ht="14.25" hidden="1" customHeight="1" x14ac:dyDescent="0.25">
      <c r="A91" s="65"/>
      <c r="B91" s="72" t="s">
        <v>612</v>
      </c>
      <c r="C91" s="66" t="s">
        <v>617</v>
      </c>
      <c r="D91" s="67">
        <v>57.16</v>
      </c>
      <c r="E91" s="67"/>
      <c r="F91" s="73">
        <v>7.82</v>
      </c>
      <c r="G91" s="74"/>
      <c r="H91" s="96">
        <f>D91*F91</f>
        <v>446.99119999999999</v>
      </c>
      <c r="I91"/>
      <c r="J91"/>
      <c r="K91"/>
      <c r="L91"/>
      <c r="M91"/>
    </row>
    <row r="92" spans="1:13" ht="14.25" hidden="1" customHeight="1" x14ac:dyDescent="0.25">
      <c r="A92"/>
      <c r="B92"/>
      <c r="C92" t="s">
        <v>618</v>
      </c>
      <c r="D92">
        <v>17.399999999999999</v>
      </c>
      <c r="E92"/>
      <c r="F92">
        <v>17</v>
      </c>
      <c r="G92"/>
      <c r="H92">
        <f>F92*D92</f>
        <v>295.79999999999995</v>
      </c>
      <c r="I92"/>
      <c r="J92"/>
      <c r="K92"/>
      <c r="L92"/>
      <c r="M92"/>
    </row>
    <row r="93" spans="1:13" ht="14.25" hidden="1" customHeight="1" x14ac:dyDescent="0.25">
      <c r="A93"/>
      <c r="B93"/>
      <c r="C93"/>
      <c r="D93"/>
      <c r="E93"/>
      <c r="F93"/>
      <c r="G93"/>
      <c r="H93"/>
      <c r="I93"/>
      <c r="J93"/>
      <c r="K93"/>
      <c r="L93"/>
      <c r="M93"/>
    </row>
    <row r="94" spans="1:13" ht="14.25" hidden="1" customHeight="1" x14ac:dyDescent="0.25">
      <c r="A94"/>
      <c r="B94" s="458" t="s">
        <v>980</v>
      </c>
      <c r="C94" s="182" t="s">
        <v>964</v>
      </c>
      <c r="D94">
        <f>15.75+0.6</f>
        <v>16.350000000000001</v>
      </c>
      <c r="E94"/>
      <c r="F94">
        <f>6.3+1.5</f>
        <v>7.8</v>
      </c>
      <c r="G94"/>
      <c r="H94">
        <f>D94*F94</f>
        <v>127.53</v>
      </c>
      <c r="I94"/>
      <c r="J94"/>
      <c r="K94"/>
      <c r="L94"/>
      <c r="M94"/>
    </row>
    <row r="95" spans="1:13" ht="14.25" hidden="1" customHeight="1" x14ac:dyDescent="0.25">
      <c r="A95"/>
      <c r="B95" s="458"/>
      <c r="C95" s="182" t="s">
        <v>965</v>
      </c>
      <c r="D95">
        <f>15.75+0.6</f>
        <v>16.350000000000001</v>
      </c>
      <c r="E95"/>
      <c r="F95">
        <f>6.3+1.5</f>
        <v>7.8</v>
      </c>
      <c r="G95"/>
      <c r="H95">
        <f>D95*F95</f>
        <v>127.53</v>
      </c>
      <c r="I95"/>
      <c r="J95"/>
      <c r="K95"/>
      <c r="L95"/>
      <c r="M95"/>
    </row>
    <row r="96" spans="1:13" ht="14.25" hidden="1" customHeight="1" x14ac:dyDescent="0.25">
      <c r="A96"/>
      <c r="B96" s="458"/>
      <c r="C96" s="182" t="s">
        <v>983</v>
      </c>
      <c r="D96">
        <f>3.2+2.04</f>
        <v>5.24</v>
      </c>
      <c r="E96"/>
      <c r="F96">
        <f>2.85+0.3</f>
        <v>3.15</v>
      </c>
      <c r="G96">
        <v>3</v>
      </c>
      <c r="H96">
        <f>G96*F96*D96</f>
        <v>49.518000000000001</v>
      </c>
      <c r="I96"/>
      <c r="J96"/>
      <c r="K96"/>
      <c r="L96"/>
      <c r="M96"/>
    </row>
    <row r="97" spans="1:13" ht="14.25" hidden="1" customHeight="1" x14ac:dyDescent="0.25">
      <c r="A97"/>
      <c r="B97" s="458"/>
      <c r="C97" s="182" t="s">
        <v>984</v>
      </c>
      <c r="D97">
        <f>2.75+3</f>
        <v>5.75</v>
      </c>
      <c r="E97"/>
      <c r="F97">
        <v>8</v>
      </c>
      <c r="G97"/>
      <c r="H97">
        <f>F97*D97</f>
        <v>46</v>
      </c>
      <c r="I97"/>
      <c r="J97"/>
      <c r="K97"/>
      <c r="L97"/>
      <c r="M97"/>
    </row>
    <row r="98" spans="1:13" ht="14.25" hidden="1" customHeight="1" x14ac:dyDescent="0.25">
      <c r="A98"/>
      <c r="B98" s="458"/>
      <c r="C98" s="182" t="s">
        <v>985</v>
      </c>
      <c r="D98"/>
      <c r="E98"/>
      <c r="F98"/>
      <c r="G98"/>
      <c r="H98">
        <v>36.270000000000003</v>
      </c>
      <c r="I98"/>
      <c r="J98"/>
      <c r="K98"/>
      <c r="L98"/>
      <c r="M98"/>
    </row>
    <row r="99" spans="1:13" ht="14.25" hidden="1" customHeight="1" x14ac:dyDescent="0.25">
      <c r="A99"/>
      <c r="B99"/>
      <c r="C99"/>
      <c r="D99"/>
      <c r="E99"/>
      <c r="F99"/>
      <c r="G99"/>
      <c r="H99"/>
      <c r="I99"/>
      <c r="J99"/>
      <c r="K99"/>
      <c r="L99"/>
      <c r="M99"/>
    </row>
    <row r="100" spans="1:13" ht="14.25" hidden="1" customHeight="1" x14ac:dyDescent="0.25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spans="1:13" ht="37.5" hidden="1" customHeight="1" x14ac:dyDescent="0.25">
      <c r="A101" s="80" t="s">
        <v>619</v>
      </c>
      <c r="B101" s="81"/>
      <c r="C101" s="82" t="str">
        <f>VLOOKUP(A101,'[2]Orçamento Sintético'!A:J,4,0)</f>
        <v>ATERRO MANUAL DE VALAS COM SOLO ARGILO-ARENOSO E COMPACTAÇÃO MECANIZADA. AF_05/2016</v>
      </c>
      <c r="D101" s="81"/>
      <c r="E101" s="81"/>
      <c r="F101" s="462" t="s">
        <v>1084</v>
      </c>
      <c r="G101" s="462"/>
      <c r="H101" s="85">
        <f>SUM(H110:H115)</f>
        <v>114.12049999999999</v>
      </c>
      <c r="I101"/>
      <c r="J101"/>
      <c r="K101"/>
      <c r="L101"/>
      <c r="M101"/>
    </row>
    <row r="102" spans="1:13" ht="14.25" hidden="1" customHeight="1" x14ac:dyDescent="0.25">
      <c r="A102" s="65"/>
      <c r="B102" s="65"/>
      <c r="C102" s="66"/>
      <c r="D102" s="67"/>
      <c r="E102" s="67"/>
      <c r="F102" s="463" t="s">
        <v>578</v>
      </c>
      <c r="G102" s="464"/>
      <c r="H102" s="68"/>
      <c r="I102"/>
      <c r="J102"/>
      <c r="K102"/>
      <c r="L102"/>
      <c r="M102"/>
    </row>
    <row r="103" spans="1:13" ht="14.25" hidden="1" customHeight="1" x14ac:dyDescent="0.25">
      <c r="A103" s="65"/>
      <c r="B103" s="65"/>
      <c r="C103" s="66"/>
      <c r="D103" s="67"/>
      <c r="E103" s="67"/>
      <c r="F103" s="456" t="s">
        <v>579</v>
      </c>
      <c r="G103" s="456"/>
      <c r="H103" s="68">
        <f>VLOOKUP(A101,'[2]Orçamento Sintético'!A:J,6,0)</f>
        <v>168.5</v>
      </c>
      <c r="I103"/>
      <c r="J103"/>
      <c r="K103"/>
      <c r="L103"/>
      <c r="M103"/>
    </row>
    <row r="104" spans="1:13" ht="14.25" hidden="1" customHeight="1" x14ac:dyDescent="0.25">
      <c r="A104" s="65"/>
      <c r="B104" s="65"/>
      <c r="C104" s="66"/>
      <c r="D104" s="67"/>
      <c r="E104" s="67"/>
      <c r="F104" s="456" t="s">
        <v>596</v>
      </c>
      <c r="G104" s="456"/>
      <c r="H104" s="69">
        <f>H107+H108+H110+H111+H112+H113+H114+H115</f>
        <v>168.5033</v>
      </c>
      <c r="I104"/>
      <c r="J104"/>
      <c r="K104"/>
      <c r="L104"/>
      <c r="M104"/>
    </row>
    <row r="105" spans="1:13" ht="14.25" hidden="1" customHeight="1" x14ac:dyDescent="0.25">
      <c r="A105" s="65"/>
      <c r="B105" s="65"/>
      <c r="C105" s="66"/>
      <c r="D105" s="67"/>
      <c r="E105" s="67"/>
      <c r="F105" s="457" t="s">
        <v>580</v>
      </c>
      <c r="G105" s="457"/>
      <c r="H105" s="264">
        <f>H103-H104</f>
        <v>-3.2999999999958618E-3</v>
      </c>
      <c r="I105"/>
      <c r="J105"/>
      <c r="K105"/>
      <c r="L105"/>
      <c r="M105"/>
    </row>
    <row r="106" spans="1:13" ht="14.25" hidden="1" customHeight="1" x14ac:dyDescent="0.25">
      <c r="A106" s="65"/>
      <c r="B106" s="65"/>
      <c r="C106" s="66"/>
      <c r="D106" s="70" t="s">
        <v>581</v>
      </c>
      <c r="E106" s="70" t="s">
        <v>582</v>
      </c>
      <c r="F106" s="70" t="s">
        <v>583</v>
      </c>
      <c r="G106" s="71" t="s">
        <v>584</v>
      </c>
      <c r="H106" s="75"/>
      <c r="I106"/>
      <c r="J106"/>
      <c r="K106"/>
      <c r="L106"/>
      <c r="M106"/>
    </row>
    <row r="107" spans="1:13" ht="14.25" hidden="1" customHeight="1" x14ac:dyDescent="0.25">
      <c r="A107" s="65"/>
      <c r="B107" s="72" t="s">
        <v>612</v>
      </c>
      <c r="C107" s="66" t="s">
        <v>621</v>
      </c>
      <c r="D107" s="67">
        <v>1.1000000000000001</v>
      </c>
      <c r="E107" s="67">
        <v>1.1000000000000001</v>
      </c>
      <c r="F107" s="73">
        <v>0.66</v>
      </c>
      <c r="G107" s="181">
        <v>58</v>
      </c>
      <c r="H107" s="96">
        <f>G107*F107*E107*D107</f>
        <v>46.31880000000001</v>
      </c>
      <c r="I107"/>
      <c r="J107"/>
      <c r="K107"/>
      <c r="L107"/>
      <c r="M107"/>
    </row>
    <row r="108" spans="1:13" ht="14.25" hidden="1" customHeight="1" x14ac:dyDescent="0.25">
      <c r="A108"/>
      <c r="B108"/>
      <c r="C108" s="182" t="s">
        <v>967</v>
      </c>
      <c r="D108" s="108">
        <v>0.8</v>
      </c>
      <c r="E108" s="108">
        <v>0.7</v>
      </c>
      <c r="F108" s="108">
        <v>0.8</v>
      </c>
      <c r="G108" s="108">
        <v>18</v>
      </c>
      <c r="H108" s="96">
        <f>G108*F108*E108*D108</f>
        <v>8.0640000000000001</v>
      </c>
      <c r="I108"/>
      <c r="J108"/>
      <c r="K108"/>
      <c r="L108"/>
      <c r="M108"/>
    </row>
    <row r="109" spans="1:13" ht="14.25" hidden="1" customHeight="1" x14ac:dyDescent="0.25">
      <c r="A109"/>
      <c r="B109"/>
      <c r="C109"/>
      <c r="D109" s="108"/>
      <c r="E109" s="108"/>
      <c r="F109" s="108"/>
      <c r="G109" s="108"/>
      <c r="H109" s="96"/>
      <c r="I109"/>
      <c r="J109"/>
      <c r="K109"/>
      <c r="L109"/>
      <c r="M109"/>
    </row>
    <row r="110" spans="1:13" ht="14.25" hidden="1" customHeight="1" x14ac:dyDescent="0.25">
      <c r="A110"/>
      <c r="B110" s="458" t="s">
        <v>980</v>
      </c>
      <c r="C110" s="182" t="s">
        <v>987</v>
      </c>
      <c r="D110">
        <v>0.65</v>
      </c>
      <c r="E110" s="108">
        <v>0.7</v>
      </c>
      <c r="F110" s="108">
        <v>0.75</v>
      </c>
      <c r="G110" s="108">
        <v>14</v>
      </c>
      <c r="H110" s="96">
        <f>G110*F110*E110*D110</f>
        <v>4.7774999999999999</v>
      </c>
      <c r="I110"/>
      <c r="J110"/>
      <c r="K110"/>
      <c r="L110"/>
      <c r="M110"/>
    </row>
    <row r="111" spans="1:13" ht="14.25" hidden="1" customHeight="1" x14ac:dyDescent="0.25">
      <c r="A111"/>
      <c r="B111" s="458"/>
      <c r="C111" s="182" t="s">
        <v>988</v>
      </c>
      <c r="D111" s="95">
        <v>0.6</v>
      </c>
      <c r="E111" s="108">
        <v>0.7</v>
      </c>
      <c r="F111" s="108">
        <v>0.65</v>
      </c>
      <c r="G111" s="108">
        <v>16</v>
      </c>
      <c r="H111" s="96">
        <f t="shared" ref="H111:H114" si="0">G111*F111*E111*D111</f>
        <v>4.3679999999999994</v>
      </c>
      <c r="I111"/>
      <c r="J111"/>
      <c r="K111"/>
      <c r="L111"/>
      <c r="M111"/>
    </row>
    <row r="112" spans="1:13" ht="14.25" hidden="1" customHeight="1" x14ac:dyDescent="0.25">
      <c r="A112"/>
      <c r="B112" s="458"/>
      <c r="C112" s="182" t="s">
        <v>989</v>
      </c>
      <c r="D112" s="95">
        <v>0.6</v>
      </c>
      <c r="E112" s="108">
        <v>0.7</v>
      </c>
      <c r="F112" s="224">
        <v>0.6</v>
      </c>
      <c r="G112" s="108">
        <f>4*3</f>
        <v>12</v>
      </c>
      <c r="H112" s="96">
        <f t="shared" si="0"/>
        <v>3.0239999999999996</v>
      </c>
      <c r="I112"/>
      <c r="J112"/>
      <c r="K112"/>
      <c r="L112"/>
      <c r="M112"/>
    </row>
    <row r="113" spans="1:13" ht="14.25" hidden="1" customHeight="1" x14ac:dyDescent="0.25">
      <c r="A113"/>
      <c r="B113" s="458"/>
      <c r="C113" s="182" t="s">
        <v>990</v>
      </c>
      <c r="D113" s="95">
        <v>0.45</v>
      </c>
      <c r="E113" s="108">
        <v>0.7</v>
      </c>
      <c r="F113" s="108">
        <v>0.3</v>
      </c>
      <c r="G113" s="108">
        <v>8</v>
      </c>
      <c r="H113" s="96">
        <f t="shared" si="0"/>
        <v>0.75600000000000001</v>
      </c>
      <c r="I113"/>
      <c r="J113"/>
      <c r="K113"/>
      <c r="L113"/>
      <c r="M113"/>
    </row>
    <row r="114" spans="1:13" ht="14.25" hidden="1" customHeight="1" x14ac:dyDescent="0.25">
      <c r="A114"/>
      <c r="B114" s="458"/>
      <c r="C114" s="182" t="s">
        <v>991</v>
      </c>
      <c r="D114" s="95">
        <v>0.45</v>
      </c>
      <c r="E114" s="108">
        <v>0.7</v>
      </c>
      <c r="F114" s="108">
        <v>0.3</v>
      </c>
      <c r="G114" s="222">
        <v>10</v>
      </c>
      <c r="H114" s="96">
        <f t="shared" si="0"/>
        <v>0.94499999999999984</v>
      </c>
      <c r="I114"/>
      <c r="J114"/>
      <c r="K114"/>
      <c r="L114"/>
      <c r="M114"/>
    </row>
    <row r="115" spans="1:13" ht="14.25" hidden="1" customHeight="1" x14ac:dyDescent="0.25">
      <c r="A115"/>
      <c r="B115" s="458"/>
      <c r="C115" s="182" t="s">
        <v>1071</v>
      </c>
      <c r="D115" s="95">
        <v>8</v>
      </c>
      <c r="E115" s="108">
        <v>1</v>
      </c>
      <c r="F115" s="108">
        <v>6.26</v>
      </c>
      <c r="G115" s="108">
        <v>2</v>
      </c>
      <c r="H115" s="229">
        <v>100.25</v>
      </c>
      <c r="I115"/>
      <c r="J115"/>
      <c r="K115"/>
      <c r="L115"/>
      <c r="M115"/>
    </row>
    <row r="116" spans="1:13" ht="14.25" hidden="1" customHeight="1" x14ac:dyDescent="0.25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spans="1:13" ht="14.25" hidden="1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spans="1:13" ht="37.5" hidden="1" customHeight="1" x14ac:dyDescent="0.25">
      <c r="A118" s="80" t="s">
        <v>620</v>
      </c>
      <c r="B118" s="81"/>
      <c r="C118" s="82" t="str">
        <f>VLOOKUP(A118,'[2]Orçamento Sintético'!A:J,4,0)</f>
        <v>ESCAVAÇÃO MANUAL DE VALA COM PROFUNDIDADE MENOR OU IGUAL A 1,30 M. AF_02/2021</v>
      </c>
      <c r="D118" s="81"/>
      <c r="E118" s="81" t="str">
        <f>VLOOKUP(A118,'[2]Orçamento Sintético'!A:J,5,0)</f>
        <v>m³</v>
      </c>
      <c r="F118" s="462" t="s">
        <v>1084</v>
      </c>
      <c r="G118" s="462"/>
      <c r="H118" s="85">
        <f>SUM(H131:H140)</f>
        <v>14.838799999999999</v>
      </c>
      <c r="I118" s="216"/>
      <c r="J118"/>
      <c r="K118"/>
      <c r="L118"/>
      <c r="M118"/>
    </row>
    <row r="119" spans="1:13" ht="14.25" hidden="1" customHeight="1" x14ac:dyDescent="0.25">
      <c r="A119" s="65"/>
      <c r="B119" s="65"/>
      <c r="C119" s="66"/>
      <c r="D119" s="67"/>
      <c r="E119" s="67"/>
      <c r="F119" s="463" t="s">
        <v>578</v>
      </c>
      <c r="G119" s="464"/>
      <c r="H119" s="68"/>
      <c r="I119"/>
      <c r="J119"/>
      <c r="K119"/>
      <c r="L119"/>
      <c r="M119"/>
    </row>
    <row r="120" spans="1:13" ht="14.25" hidden="1" customHeight="1" x14ac:dyDescent="0.25">
      <c r="A120" s="65"/>
      <c r="B120" s="65"/>
      <c r="C120" s="66"/>
      <c r="D120" s="67"/>
      <c r="E120" s="67"/>
      <c r="F120" s="456" t="s">
        <v>579</v>
      </c>
      <c r="G120" s="456"/>
      <c r="H120" s="68">
        <f>VLOOKUP(A118,'[2]Orçamento Sintético'!A:J,6,0)</f>
        <v>94.33</v>
      </c>
      <c r="I120"/>
      <c r="J120"/>
      <c r="K120"/>
      <c r="L120"/>
      <c r="M120"/>
    </row>
    <row r="121" spans="1:13" ht="14.25" hidden="1" customHeight="1" x14ac:dyDescent="0.25">
      <c r="A121" s="65"/>
      <c r="B121" s="65"/>
      <c r="C121" s="66"/>
      <c r="D121" s="67"/>
      <c r="E121" s="67"/>
      <c r="F121" s="456" t="s">
        <v>596</v>
      </c>
      <c r="G121" s="456"/>
      <c r="H121" s="69">
        <f>SUM(H124:H140)</f>
        <v>94.333200000000005</v>
      </c>
      <c r="I121"/>
      <c r="J121"/>
      <c r="K121"/>
      <c r="L121"/>
      <c r="M121"/>
    </row>
    <row r="122" spans="1:13" ht="14.25" hidden="1" customHeight="1" x14ac:dyDescent="0.25">
      <c r="A122" s="65"/>
      <c r="B122" s="65"/>
      <c r="C122" s="66"/>
      <c r="D122" s="67"/>
      <c r="E122" s="67"/>
      <c r="F122" s="457" t="s">
        <v>580</v>
      </c>
      <c r="G122" s="457"/>
      <c r="H122" s="264">
        <f>H120-H121</f>
        <v>-3.200000000006753E-3</v>
      </c>
      <c r="I122"/>
      <c r="J122"/>
      <c r="K122"/>
      <c r="L122"/>
      <c r="M122"/>
    </row>
    <row r="123" spans="1:13" ht="14.25" hidden="1" customHeight="1" x14ac:dyDescent="0.25">
      <c r="A123" s="65"/>
      <c r="B123" s="65"/>
      <c r="C123" s="66"/>
      <c r="D123" s="70" t="s">
        <v>971</v>
      </c>
      <c r="E123" s="70" t="s">
        <v>972</v>
      </c>
      <c r="F123" s="70" t="s">
        <v>976</v>
      </c>
      <c r="G123" s="71" t="s">
        <v>584</v>
      </c>
      <c r="H123" s="75"/>
      <c r="I123"/>
      <c r="J123"/>
      <c r="K123"/>
      <c r="L123"/>
      <c r="M123"/>
    </row>
    <row r="124" spans="1:13" ht="14.25" hidden="1" customHeight="1" x14ac:dyDescent="0.25">
      <c r="A124" s="65"/>
      <c r="B124" s="72" t="s">
        <v>612</v>
      </c>
      <c r="C124" s="66" t="s">
        <v>623</v>
      </c>
      <c r="D124" s="67">
        <v>1</v>
      </c>
      <c r="E124" s="67">
        <v>0.7</v>
      </c>
      <c r="F124" s="73">
        <v>1</v>
      </c>
      <c r="G124" s="74">
        <v>58</v>
      </c>
      <c r="H124" s="96">
        <f>D124*E124*F124*G124</f>
        <v>40.599999999999994</v>
      </c>
      <c r="I124"/>
      <c r="J124"/>
      <c r="K124"/>
      <c r="L124"/>
      <c r="M124"/>
    </row>
    <row r="125" spans="1:13" ht="14.25" hidden="1" customHeight="1" x14ac:dyDescent="0.25">
      <c r="A125"/>
      <c r="B125"/>
      <c r="C125" s="66" t="s">
        <v>622</v>
      </c>
      <c r="D125" s="67">
        <v>129.96</v>
      </c>
      <c r="E125" s="67">
        <v>0.4</v>
      </c>
      <c r="F125" s="73">
        <v>0.4</v>
      </c>
      <c r="G125" s="74"/>
      <c r="H125" s="96">
        <f>D125*E125*F125</f>
        <v>20.793600000000005</v>
      </c>
      <c r="I125"/>
      <c r="J125"/>
      <c r="K125"/>
      <c r="L125"/>
      <c r="M125"/>
    </row>
    <row r="126" spans="1:13" ht="14.25" hidden="1" customHeight="1" x14ac:dyDescent="0.25">
      <c r="A126"/>
      <c r="B126"/>
      <c r="C126" s="66" t="s">
        <v>624</v>
      </c>
      <c r="D126" s="67">
        <v>0.8</v>
      </c>
      <c r="E126" s="67">
        <v>0.7</v>
      </c>
      <c r="F126" s="73">
        <v>0.8</v>
      </c>
      <c r="G126" s="74">
        <v>18</v>
      </c>
      <c r="H126" s="96">
        <f>D126*E126*F126*G126</f>
        <v>8.0640000000000001</v>
      </c>
      <c r="I126"/>
      <c r="J126"/>
      <c r="K126"/>
      <c r="L126"/>
      <c r="M126"/>
    </row>
    <row r="127" spans="1:13" ht="14.25" hidden="1" customHeight="1" x14ac:dyDescent="0.25">
      <c r="A127"/>
      <c r="B127"/>
      <c r="C127" s="66" t="s">
        <v>625</v>
      </c>
      <c r="D127" s="67">
        <f>13.2+33.33+16.2</f>
        <v>62.730000000000004</v>
      </c>
      <c r="E127" s="67">
        <v>0.4</v>
      </c>
      <c r="F127" s="73">
        <v>0.4</v>
      </c>
      <c r="G127"/>
      <c r="H127">
        <f>D127*E127*F127</f>
        <v>10.036800000000001</v>
      </c>
      <c r="I127"/>
      <c r="J127"/>
      <c r="K127"/>
      <c r="L127"/>
      <c r="M127"/>
    </row>
    <row r="128" spans="1:13" ht="14.25" hidden="1" customHeight="1" x14ac:dyDescent="0.25">
      <c r="A128"/>
      <c r="B128"/>
      <c r="C128" s="66"/>
      <c r="D128" s="67"/>
      <c r="E128" s="67"/>
      <c r="F128" s="73"/>
      <c r="G128"/>
      <c r="H128"/>
      <c r="I128"/>
      <c r="J128"/>
      <c r="K128"/>
      <c r="L128"/>
      <c r="M128"/>
    </row>
    <row r="129" spans="1:13" ht="14.25" hidden="1" customHeight="1" x14ac:dyDescent="0.25">
      <c r="A129"/>
      <c r="B129"/>
      <c r="C129" s="66"/>
      <c r="D129" s="67"/>
      <c r="E129" s="67"/>
      <c r="F129" s="73"/>
      <c r="G129"/>
      <c r="H129"/>
      <c r="I129"/>
      <c r="J129"/>
      <c r="K129"/>
      <c r="L129"/>
      <c r="M129"/>
    </row>
    <row r="130" spans="1:13" ht="14.25" hidden="1" customHeight="1" x14ac:dyDescent="0.25">
      <c r="A130"/>
      <c r="B130"/>
      <c r="C130" s="66"/>
      <c r="D130" s="67"/>
      <c r="E130" s="67"/>
      <c r="F130" s="73"/>
      <c r="G130"/>
      <c r="H130"/>
      <c r="I130"/>
      <c r="J130"/>
      <c r="K130"/>
      <c r="L130"/>
      <c r="M130"/>
    </row>
    <row r="131" spans="1:13" ht="14.25" hidden="1" customHeight="1" x14ac:dyDescent="0.25">
      <c r="A131"/>
      <c r="B131" s="458" t="s">
        <v>980</v>
      </c>
      <c r="C131" s="182" t="s">
        <v>988</v>
      </c>
      <c r="D131" s="225">
        <v>0.8</v>
      </c>
      <c r="E131" s="224">
        <v>0.7</v>
      </c>
      <c r="F131" s="226">
        <f>0.65+0.2</f>
        <v>0.85000000000000009</v>
      </c>
      <c r="G131" s="224">
        <v>16</v>
      </c>
      <c r="H131" s="95">
        <f>D131*E131*F131*G131</f>
        <v>7.6159999999999997</v>
      </c>
      <c r="I131"/>
      <c r="J131"/>
      <c r="K131"/>
      <c r="L131"/>
      <c r="M131"/>
    </row>
    <row r="132" spans="1:13" ht="14.25" hidden="1" customHeight="1" x14ac:dyDescent="0.25">
      <c r="A132"/>
      <c r="B132" s="458"/>
      <c r="C132" s="182" t="s">
        <v>987</v>
      </c>
      <c r="D132" s="225">
        <v>0.92</v>
      </c>
      <c r="E132" s="225">
        <v>0.7</v>
      </c>
      <c r="F132" s="226">
        <v>0.8</v>
      </c>
      <c r="G132" s="227">
        <v>14</v>
      </c>
      <c r="H132" s="95">
        <f>D132*E132*F132*G132+0.01</f>
        <v>7.2227999999999994</v>
      </c>
      <c r="I132"/>
      <c r="J132"/>
      <c r="K132"/>
      <c r="L132"/>
      <c r="M132"/>
    </row>
    <row r="133" spans="1:13" ht="14.25" hidden="1" customHeight="1" x14ac:dyDescent="0.25">
      <c r="A133"/>
      <c r="B133" s="249"/>
      <c r="C133" s="182"/>
      <c r="D133" s="225"/>
      <c r="E133" s="225"/>
      <c r="F133" s="226"/>
      <c r="G133" s="227"/>
      <c r="H133" s="95"/>
      <c r="I133"/>
      <c r="J133"/>
      <c r="K133"/>
      <c r="L133"/>
      <c r="M133"/>
    </row>
    <row r="134" spans="1:13" ht="14.25" hidden="1" customHeight="1" thickBot="1" x14ac:dyDescent="0.3">
      <c r="A134"/>
      <c r="B134" s="249"/>
      <c r="C134" s="182"/>
      <c r="D134" s="225"/>
      <c r="E134" s="225"/>
      <c r="F134" s="226"/>
      <c r="G134" s="227"/>
      <c r="H134" s="95"/>
      <c r="I134"/>
      <c r="J134"/>
      <c r="K134"/>
      <c r="L134"/>
      <c r="M134"/>
    </row>
    <row r="135" spans="1:13" ht="14.25" hidden="1" customHeight="1" x14ac:dyDescent="0.25">
      <c r="A135"/>
      <c r="B135" s="459" t="s">
        <v>1025</v>
      </c>
      <c r="C135" s="251" t="s">
        <v>992</v>
      </c>
      <c r="D135" s="252">
        <v>60.07</v>
      </c>
      <c r="E135" s="253">
        <v>0.4</v>
      </c>
      <c r="F135" s="254">
        <v>0.6</v>
      </c>
      <c r="G135" s="255"/>
      <c r="H135" s="95"/>
      <c r="I135"/>
      <c r="J135"/>
      <c r="K135"/>
      <c r="L135"/>
      <c r="M135"/>
    </row>
    <row r="136" spans="1:13" ht="14.25" hidden="1" customHeight="1" x14ac:dyDescent="0.25">
      <c r="A136"/>
      <c r="B136" s="460"/>
      <c r="C136" s="256" t="s">
        <v>993</v>
      </c>
      <c r="D136" s="257">
        <f>15.73+15.73+15.73+6.29+6.29+20.7</f>
        <v>80.47</v>
      </c>
      <c r="E136" s="257">
        <v>0.4</v>
      </c>
      <c r="F136" s="257">
        <v>0.6</v>
      </c>
      <c r="G136" s="258"/>
      <c r="H136" s="95"/>
      <c r="I136"/>
      <c r="J136"/>
      <c r="K136"/>
      <c r="L136"/>
      <c r="M136"/>
    </row>
    <row r="137" spans="1:13" ht="14.25" hidden="1" customHeight="1" x14ac:dyDescent="0.25">
      <c r="A137"/>
      <c r="B137" s="460"/>
      <c r="C137" s="256" t="s">
        <v>990</v>
      </c>
      <c r="D137" s="257">
        <v>0.45</v>
      </c>
      <c r="E137" s="257">
        <v>0.7</v>
      </c>
      <c r="F137" s="257">
        <v>0.3</v>
      </c>
      <c r="G137" s="258">
        <v>8</v>
      </c>
      <c r="H137" s="95"/>
      <c r="I137"/>
      <c r="J137"/>
      <c r="K137"/>
      <c r="L137"/>
      <c r="M137"/>
    </row>
    <row r="138" spans="1:13" ht="14.25" hidden="1" customHeight="1" x14ac:dyDescent="0.25">
      <c r="A138"/>
      <c r="B138" s="460"/>
      <c r="C138" s="256" t="s">
        <v>995</v>
      </c>
      <c r="D138" s="257">
        <f>7.25*2</f>
        <v>14.5</v>
      </c>
      <c r="E138" s="257">
        <v>0.4</v>
      </c>
      <c r="F138" s="257">
        <v>0.6</v>
      </c>
      <c r="G138" s="258"/>
      <c r="H138" s="95"/>
      <c r="I138"/>
      <c r="J138"/>
      <c r="K138"/>
      <c r="L138"/>
      <c r="M138"/>
    </row>
    <row r="139" spans="1:13" ht="14.25" hidden="1" customHeight="1" x14ac:dyDescent="0.25">
      <c r="A139"/>
      <c r="B139" s="460"/>
      <c r="C139" s="256" t="s">
        <v>991</v>
      </c>
      <c r="D139" s="257">
        <v>0.45</v>
      </c>
      <c r="E139" s="257">
        <v>0.7</v>
      </c>
      <c r="F139" s="257">
        <v>0.3</v>
      </c>
      <c r="G139" s="259">
        <v>10</v>
      </c>
      <c r="H139" s="95"/>
      <c r="I139"/>
      <c r="J139"/>
      <c r="K139"/>
      <c r="L139"/>
      <c r="M139"/>
    </row>
    <row r="140" spans="1:13" ht="15" hidden="1" customHeight="1" thickBot="1" x14ac:dyDescent="0.3">
      <c r="A140"/>
      <c r="B140" s="461"/>
      <c r="C140" s="260" t="s">
        <v>996</v>
      </c>
      <c r="D140" s="261">
        <v>32.5</v>
      </c>
      <c r="E140" s="261">
        <v>0.4</v>
      </c>
      <c r="F140" s="261">
        <v>0.6</v>
      </c>
      <c r="G140" s="262"/>
      <c r="H140" s="95"/>
      <c r="I140"/>
      <c r="J140"/>
      <c r="K140"/>
      <c r="L140"/>
      <c r="M140"/>
    </row>
    <row r="141" spans="1:13" ht="14.25" hidden="1" customHeight="1" x14ac:dyDescent="0.25">
      <c r="A141"/>
      <c r="B141"/>
      <c r="C141" s="182"/>
      <c r="D141"/>
      <c r="E141"/>
      <c r="F141"/>
      <c r="G141"/>
      <c r="H141"/>
      <c r="I141"/>
      <c r="J141"/>
      <c r="K141"/>
      <c r="L141"/>
      <c r="M141"/>
    </row>
    <row r="142" spans="1:13" ht="14.25" hidden="1" customHeight="1" x14ac:dyDescent="0.25">
      <c r="A142"/>
      <c r="B142"/>
      <c r="C142" s="182"/>
      <c r="D142"/>
      <c r="E142"/>
      <c r="F142"/>
      <c r="G142"/>
      <c r="H142"/>
      <c r="I142"/>
      <c r="J142"/>
      <c r="K142"/>
      <c r="L142"/>
      <c r="M142"/>
    </row>
    <row r="143" spans="1:13" ht="14.25" hidden="1" customHeight="1" x14ac:dyDescent="0.25">
      <c r="A143"/>
      <c r="B143"/>
      <c r="C143" s="182"/>
      <c r="D143"/>
      <c r="E143"/>
      <c r="F143"/>
      <c r="G143"/>
      <c r="H143"/>
      <c r="I143"/>
      <c r="J143"/>
      <c r="K143"/>
      <c r="L143"/>
      <c r="M143"/>
    </row>
    <row r="144" spans="1:13" ht="37.5" hidden="1" customHeight="1" x14ac:dyDescent="0.25">
      <c r="A144" s="80" t="s">
        <v>636</v>
      </c>
      <c r="B144" s="81"/>
      <c r="C144" s="82" t="str">
        <f>VLOOKUP(A144,'[2]Orçamento Sintético'!A:J,4,0)</f>
        <v>ATERRO MANUAL DE VALAS COM SOLO ARGILO-ARENOSO E COMPACTAÇÃO MECANIZADA. AF_05/2016</v>
      </c>
      <c r="D144" s="81"/>
      <c r="E144" s="81" t="str">
        <f>VLOOKUP(A144,'[2]Orçamento Sintético'!A:J,5,0)</f>
        <v>m³</v>
      </c>
      <c r="F144" s="462" t="s">
        <v>1084</v>
      </c>
      <c r="G144" s="462"/>
      <c r="H144" s="85">
        <f>SUM(H150:H152)</f>
        <v>184.58249999999998</v>
      </c>
      <c r="I144" s="216"/>
      <c r="J144"/>
      <c r="K144"/>
      <c r="L144"/>
      <c r="M144"/>
    </row>
    <row r="145" spans="1:13" ht="14.25" hidden="1" customHeight="1" x14ac:dyDescent="0.25">
      <c r="A145" s="65"/>
      <c r="B145" s="65"/>
      <c r="C145" s="66"/>
      <c r="D145" s="67"/>
      <c r="E145" s="67"/>
      <c r="F145" s="463" t="s">
        <v>578</v>
      </c>
      <c r="G145" s="464"/>
      <c r="H145" s="68"/>
      <c r="I145"/>
      <c r="J145"/>
      <c r="K145"/>
      <c r="L145"/>
      <c r="M145"/>
    </row>
    <row r="146" spans="1:13" ht="14.25" hidden="1" customHeight="1" x14ac:dyDescent="0.25">
      <c r="A146" s="65"/>
      <c r="B146" s="65"/>
      <c r="C146" s="66"/>
      <c r="D146" s="67"/>
      <c r="E146" s="67"/>
      <c r="F146" s="456" t="s">
        <v>579</v>
      </c>
      <c r="G146" s="456"/>
      <c r="H146" s="68">
        <f>VLOOKUP(A144,'[2]Orçamento Sintético'!A:J,6,0)</f>
        <v>184.58</v>
      </c>
      <c r="I146"/>
      <c r="J146"/>
      <c r="K146"/>
      <c r="L146"/>
      <c r="M146"/>
    </row>
    <row r="147" spans="1:13" ht="14.25" hidden="1" customHeight="1" x14ac:dyDescent="0.25">
      <c r="A147" s="65"/>
      <c r="B147" s="65"/>
      <c r="C147" s="66"/>
      <c r="D147" s="67"/>
      <c r="E147" s="67"/>
      <c r="F147" s="456" t="s">
        <v>596</v>
      </c>
      <c r="G147" s="456"/>
      <c r="H147" s="69">
        <f>SUM(H150:H152)</f>
        <v>184.58249999999998</v>
      </c>
      <c r="I147"/>
      <c r="J147"/>
      <c r="K147"/>
      <c r="L147"/>
      <c r="M147"/>
    </row>
    <row r="148" spans="1:13" ht="14.25" hidden="1" customHeight="1" x14ac:dyDescent="0.25">
      <c r="A148" s="65"/>
      <c r="B148" s="65"/>
      <c r="C148" s="66"/>
      <c r="D148" s="67"/>
      <c r="E148" s="67"/>
      <c r="F148" s="457" t="s">
        <v>580</v>
      </c>
      <c r="G148" s="457"/>
      <c r="H148" s="264">
        <f>H146-H147</f>
        <v>-2.4999999999693046E-3</v>
      </c>
      <c r="I148"/>
      <c r="J148"/>
      <c r="K148"/>
      <c r="L148"/>
      <c r="M148"/>
    </row>
    <row r="149" spans="1:13" ht="14.25" hidden="1" customHeight="1" x14ac:dyDescent="0.25">
      <c r="A149" s="65"/>
      <c r="B149" s="65"/>
      <c r="C149" s="66"/>
      <c r="D149" s="70" t="s">
        <v>971</v>
      </c>
      <c r="E149" s="70" t="s">
        <v>972</v>
      </c>
      <c r="F149" s="70" t="s">
        <v>976</v>
      </c>
      <c r="G149" s="71" t="s">
        <v>584</v>
      </c>
      <c r="H149" s="75"/>
      <c r="I149"/>
      <c r="J149"/>
      <c r="K149"/>
      <c r="L149"/>
      <c r="M149"/>
    </row>
    <row r="150" spans="1:13" ht="14.25" hidden="1" customHeight="1" x14ac:dyDescent="0.25">
      <c r="A150"/>
      <c r="B150" s="458" t="s">
        <v>980</v>
      </c>
      <c r="C150" s="182" t="s">
        <v>1072</v>
      </c>
      <c r="D150" s="95">
        <v>8</v>
      </c>
      <c r="E150" s="108">
        <v>0.9</v>
      </c>
      <c r="F150" s="108">
        <v>6.25</v>
      </c>
      <c r="G150" s="108">
        <v>2</v>
      </c>
      <c r="H150" s="229">
        <f t="shared" ref="H150" si="1">G150*F150*E150*D150</f>
        <v>90</v>
      </c>
      <c r="I150"/>
      <c r="J150"/>
      <c r="K150"/>
      <c r="L150"/>
      <c r="M150"/>
    </row>
    <row r="151" spans="1:13" ht="14.25" hidden="1" customHeight="1" x14ac:dyDescent="0.25">
      <c r="A151"/>
      <c r="B151" s="458"/>
      <c r="C151" s="182" t="s">
        <v>1073</v>
      </c>
      <c r="D151" s="95">
        <v>7.8</v>
      </c>
      <c r="E151" s="108">
        <v>0.91</v>
      </c>
      <c r="F151" s="108">
        <v>6.25</v>
      </c>
      <c r="G151" s="108">
        <v>1</v>
      </c>
      <c r="H151" s="229">
        <f>G151*F151*E151*D151+0.22</f>
        <v>44.582499999999996</v>
      </c>
      <c r="I151"/>
      <c r="J151"/>
      <c r="K151"/>
      <c r="L151"/>
      <c r="M151"/>
    </row>
    <row r="152" spans="1:13" ht="14.25" hidden="1" customHeight="1" x14ac:dyDescent="0.25">
      <c r="A152"/>
      <c r="B152" s="458"/>
      <c r="C152" s="182" t="s">
        <v>1074</v>
      </c>
      <c r="D152" s="95">
        <v>8</v>
      </c>
      <c r="E152" s="108">
        <v>1</v>
      </c>
      <c r="F152" s="108">
        <v>6.25</v>
      </c>
      <c r="G152" s="108">
        <v>1</v>
      </c>
      <c r="H152" s="229">
        <f t="shared" ref="H152" si="2">G152*F152*E152*D152</f>
        <v>50</v>
      </c>
      <c r="I152"/>
      <c r="J152"/>
      <c r="K152"/>
      <c r="L152"/>
      <c r="M152"/>
    </row>
    <row r="153" spans="1:13" ht="14.25" hidden="1" customHeight="1" x14ac:dyDescent="0.25">
      <c r="A153"/>
      <c r="B153" s="250"/>
      <c r="C153" s="182"/>
      <c r="D153" s="95"/>
      <c r="E153" s="108"/>
      <c r="F153" s="108"/>
      <c r="G153" s="108"/>
      <c r="H153" s="96"/>
      <c r="I153"/>
      <c r="J153"/>
      <c r="K153"/>
      <c r="L153"/>
      <c r="M153"/>
    </row>
    <row r="154" spans="1:13" ht="25.5" hidden="1" customHeight="1" x14ac:dyDescent="0.25">
      <c r="A154" s="80" t="s">
        <v>637</v>
      </c>
      <c r="B154" s="81"/>
      <c r="C154" s="82" t="str">
        <f>VLOOKUP(A154,'[2]Orçamento Sintético'!A:J,4,0)</f>
        <v>REATERRO MANUAL DE VALAS COM COMPACTAÇÃO MECANIZADA. AF_04/2016</v>
      </c>
      <c r="D154" s="81"/>
      <c r="E154" s="81" t="str">
        <f>VLOOKUP(A154,'[2]Orçamento Sintético'!A:J,5,0)</f>
        <v>m³</v>
      </c>
      <c r="F154" s="462" t="s">
        <v>1084</v>
      </c>
      <c r="G154" s="462"/>
      <c r="H154" s="85">
        <f>SUM(H160:H162)</f>
        <v>55.580000000000005</v>
      </c>
      <c r="I154"/>
      <c r="J154"/>
      <c r="K154"/>
      <c r="L154"/>
      <c r="M154"/>
    </row>
    <row r="155" spans="1:13" ht="14.25" hidden="1" customHeight="1" x14ac:dyDescent="0.25">
      <c r="A155" s="65"/>
      <c r="B155" s="65"/>
      <c r="C155" s="66"/>
      <c r="D155" s="67"/>
      <c r="E155" s="67"/>
      <c r="F155" s="463" t="s">
        <v>578</v>
      </c>
      <c r="G155" s="464"/>
      <c r="H155" s="68"/>
      <c r="I155"/>
      <c r="J155"/>
      <c r="K155"/>
      <c r="L155"/>
      <c r="M155"/>
    </row>
    <row r="156" spans="1:13" ht="14.25" hidden="1" customHeight="1" x14ac:dyDescent="0.25">
      <c r="A156" s="65"/>
      <c r="B156" s="65"/>
      <c r="C156" s="66"/>
      <c r="D156" s="67"/>
      <c r="E156" s="67"/>
      <c r="F156" s="456" t="s">
        <v>579</v>
      </c>
      <c r="G156" s="456"/>
      <c r="H156" s="68">
        <f>VLOOKUP(A154,'[2]Orçamento Sintético'!A:J,6,0)</f>
        <v>55.58</v>
      </c>
      <c r="I156"/>
      <c r="J156"/>
      <c r="K156"/>
      <c r="L156"/>
      <c r="M156"/>
    </row>
    <row r="157" spans="1:13" ht="14.25" hidden="1" customHeight="1" x14ac:dyDescent="0.25">
      <c r="A157" s="65"/>
      <c r="B157" s="65"/>
      <c r="C157" s="66"/>
      <c r="D157" s="67"/>
      <c r="E157" s="67"/>
      <c r="F157" s="456" t="s">
        <v>596</v>
      </c>
      <c r="G157" s="456"/>
      <c r="H157" s="69">
        <f>SUM(H160:H162)</f>
        <v>55.580000000000005</v>
      </c>
      <c r="I157"/>
      <c r="J157"/>
      <c r="K157"/>
      <c r="L157"/>
      <c r="M157"/>
    </row>
    <row r="158" spans="1:13" ht="14.25" hidden="1" customHeight="1" x14ac:dyDescent="0.25">
      <c r="A158" s="65"/>
      <c r="B158" s="65"/>
      <c r="C158" s="66"/>
      <c r="D158" s="67"/>
      <c r="E158" s="67"/>
      <c r="F158" s="457" t="s">
        <v>580</v>
      </c>
      <c r="G158" s="457"/>
      <c r="H158" s="69">
        <f>H156-H157</f>
        <v>0</v>
      </c>
      <c r="I158"/>
      <c r="J158"/>
      <c r="K158"/>
      <c r="L158"/>
      <c r="M158"/>
    </row>
    <row r="159" spans="1:13" ht="14.25" hidden="1" customHeight="1" x14ac:dyDescent="0.25">
      <c r="A159" s="65"/>
      <c r="B159" s="65"/>
      <c r="C159" s="66"/>
      <c r="D159" s="70" t="s">
        <v>971</v>
      </c>
      <c r="E159" s="70" t="s">
        <v>972</v>
      </c>
      <c r="F159" s="70" t="s">
        <v>976</v>
      </c>
      <c r="G159" s="71" t="s">
        <v>584</v>
      </c>
      <c r="H159" s="75"/>
      <c r="I159"/>
      <c r="J159"/>
      <c r="K159"/>
      <c r="L159"/>
      <c r="M159"/>
    </row>
    <row r="160" spans="1:13" ht="14.25" hidden="1" customHeight="1" x14ac:dyDescent="0.25">
      <c r="A160"/>
      <c r="B160" s="223" t="s">
        <v>980</v>
      </c>
      <c r="C160" s="182" t="s">
        <v>1075</v>
      </c>
      <c r="D160" s="95">
        <v>8</v>
      </c>
      <c r="E160" s="108">
        <v>1.1100000000000001</v>
      </c>
      <c r="F160" s="108">
        <v>6.25</v>
      </c>
      <c r="G160" s="108">
        <v>1</v>
      </c>
      <c r="H160" s="96">
        <f>G160*F160*E160*D160+0.08</f>
        <v>55.580000000000005</v>
      </c>
      <c r="I160"/>
      <c r="J160"/>
      <c r="K160"/>
      <c r="L160"/>
      <c r="M160"/>
    </row>
    <row r="161" spans="1:13" ht="14.25" hidden="1" customHeight="1" x14ac:dyDescent="0.25">
      <c r="A161"/>
      <c r="B161" s="250"/>
      <c r="C161" s="182"/>
      <c r="D161" s="95"/>
      <c r="E161" s="108"/>
      <c r="F161" s="108"/>
      <c r="G161" s="108"/>
      <c r="H161" s="96"/>
      <c r="I161"/>
      <c r="J161"/>
      <c r="K161"/>
      <c r="L161"/>
      <c r="M161"/>
    </row>
    <row r="162" spans="1:13" ht="14.25" hidden="1" customHeight="1" x14ac:dyDescent="0.25">
      <c r="A162"/>
      <c r="B162" s="250"/>
      <c r="C162" s="182"/>
      <c r="D162" s="95"/>
      <c r="E162" s="108"/>
      <c r="F162" s="108"/>
      <c r="G162" s="108"/>
      <c r="H162" s="96"/>
      <c r="I162"/>
      <c r="J162"/>
      <c r="K162"/>
      <c r="L162"/>
      <c r="M162"/>
    </row>
    <row r="163" spans="1:13" ht="14.25" hidden="1" customHeight="1" x14ac:dyDescent="0.25">
      <c r="A163"/>
      <c r="B163" s="250"/>
      <c r="C163" s="182"/>
      <c r="D163" s="95"/>
      <c r="E163" s="108"/>
      <c r="F163" s="108"/>
      <c r="G163" s="108"/>
      <c r="H163" s="96"/>
      <c r="I163"/>
      <c r="J163"/>
      <c r="K163"/>
      <c r="L163"/>
      <c r="M163"/>
    </row>
    <row r="164" spans="1:13" ht="14.25" hidden="1" customHeight="1" x14ac:dyDescent="0.25">
      <c r="A164"/>
      <c r="B164" s="250"/>
      <c r="C164" s="182"/>
      <c r="D164" s="95"/>
      <c r="E164" s="108"/>
      <c r="F164" s="108"/>
      <c r="G164" s="108"/>
      <c r="H164" s="96"/>
      <c r="I164"/>
      <c r="J164"/>
      <c r="K164"/>
      <c r="L164"/>
      <c r="M164"/>
    </row>
    <row r="165" spans="1:13" ht="37.5" hidden="1" customHeight="1" x14ac:dyDescent="0.25">
      <c r="A165" s="80" t="s">
        <v>626</v>
      </c>
      <c r="B165" s="81"/>
      <c r="C165" s="82" t="str">
        <f>VLOOKUP(A165,'[2]Orçamento Sintético'!A:J,4,0)</f>
        <v>LASTRO DE CONCRETO MAGRO, APLICADO EM BLOCOS DE COROAMENTO OU SAPATAS, ESPESSURA DE 5 CM. AF_08/2017</v>
      </c>
      <c r="D165" s="81"/>
      <c r="E165" s="81" t="str">
        <f>VLOOKUP(A165,'[2]Orçamento Sintético'!A:J,5,0)</f>
        <v>m²</v>
      </c>
      <c r="F165" s="462" t="s">
        <v>1084</v>
      </c>
      <c r="G165" s="462"/>
      <c r="H165" s="85">
        <f>SUM(H174:H192)</f>
        <v>35.449999999999996</v>
      </c>
      <c r="I165" s="216"/>
      <c r="J165"/>
      <c r="K165"/>
      <c r="L165"/>
      <c r="M165"/>
    </row>
    <row r="166" spans="1:13" ht="14.25" hidden="1" customHeight="1" x14ac:dyDescent="0.25">
      <c r="A166" s="65"/>
      <c r="B166" s="65"/>
      <c r="C166" s="66"/>
      <c r="D166" s="67"/>
      <c r="E166" s="67"/>
      <c r="F166" s="463" t="s">
        <v>578</v>
      </c>
      <c r="G166" s="464"/>
      <c r="H166" s="68"/>
      <c r="I166"/>
      <c r="J166"/>
      <c r="K166"/>
      <c r="L166"/>
      <c r="M166"/>
    </row>
    <row r="167" spans="1:13" ht="14.25" hidden="1" customHeight="1" x14ac:dyDescent="0.25">
      <c r="A167" s="65"/>
      <c r="B167" s="65"/>
      <c r="C167" s="66"/>
      <c r="D167" s="67"/>
      <c r="E167" s="67"/>
      <c r="F167" s="456" t="s">
        <v>579</v>
      </c>
      <c r="G167" s="456"/>
      <c r="H167" s="68">
        <f>VLOOKUP(A165,'[2]Orçamento Sintético'!A:J,6,0)</f>
        <v>61.88</v>
      </c>
      <c r="I167"/>
      <c r="J167"/>
      <c r="K167"/>
      <c r="L167"/>
      <c r="M167"/>
    </row>
    <row r="168" spans="1:13" ht="14.25" hidden="1" customHeight="1" x14ac:dyDescent="0.25">
      <c r="A168" s="65"/>
      <c r="B168" s="65"/>
      <c r="C168" s="66"/>
      <c r="D168" s="67"/>
      <c r="E168" s="67"/>
      <c r="F168" s="456" t="s">
        <v>596</v>
      </c>
      <c r="G168" s="456"/>
      <c r="H168" s="69">
        <f>H165</f>
        <v>35.449999999999996</v>
      </c>
      <c r="I168"/>
      <c r="J168"/>
      <c r="K168"/>
      <c r="L168"/>
      <c r="M168"/>
    </row>
    <row r="169" spans="1:13" ht="14.25" hidden="1" customHeight="1" x14ac:dyDescent="0.25">
      <c r="A169" s="65"/>
      <c r="B169" s="65"/>
      <c r="C169" s="66"/>
      <c r="D169" s="67"/>
      <c r="E169" s="67"/>
      <c r="F169" s="457" t="s">
        <v>580</v>
      </c>
      <c r="G169" s="457"/>
      <c r="H169" s="69">
        <f>H167-H168-H171-H172</f>
        <v>0</v>
      </c>
      <c r="I169"/>
      <c r="J169"/>
      <c r="K169"/>
      <c r="L169"/>
      <c r="M169"/>
    </row>
    <row r="170" spans="1:13" ht="14.25" hidden="1" customHeight="1" x14ac:dyDescent="0.25">
      <c r="A170" s="65"/>
      <c r="B170" s="65"/>
      <c r="C170" s="66"/>
      <c r="D170" s="70" t="s">
        <v>971</v>
      </c>
      <c r="E170" s="70" t="s">
        <v>972</v>
      </c>
      <c r="F170" s="70" t="s">
        <v>976</v>
      </c>
      <c r="G170" s="71" t="s">
        <v>584</v>
      </c>
      <c r="H170" s="75"/>
      <c r="I170"/>
      <c r="J170"/>
      <c r="K170"/>
      <c r="L170">
        <f>15+4+10+9+9+2+2+2+2+3</f>
        <v>58</v>
      </c>
      <c r="M170"/>
    </row>
    <row r="171" spans="1:13" ht="14.25" hidden="1" customHeight="1" x14ac:dyDescent="0.25">
      <c r="A171" s="65"/>
      <c r="B171" s="72" t="s">
        <v>612</v>
      </c>
      <c r="C171" s="66" t="s">
        <v>627</v>
      </c>
      <c r="D171" s="67"/>
      <c r="E171" s="67"/>
      <c r="F171" s="73"/>
      <c r="G171" s="74">
        <f>(15*0.6*0.6+4*0.6*0.75+10*0.6*0.85+9*0.6*0.65+9*0.6*0.9+2*0.65*0.9+2*0.7*0.8+2*0.6*0.7+2*0.6*0.65+3*0.85*0.6)*0.05</f>
        <v>1.3055000000000003</v>
      </c>
      <c r="H171" s="217"/>
      <c r="I171"/>
      <c r="J171"/>
      <c r="K171"/>
      <c r="L171"/>
      <c r="M171"/>
    </row>
    <row r="172" spans="1:13" ht="14.25" hidden="1" customHeight="1" x14ac:dyDescent="0.25">
      <c r="A172"/>
      <c r="B172"/>
      <c r="C172" s="66" t="s">
        <v>628</v>
      </c>
      <c r="D172" s="67">
        <f>0.6</f>
        <v>0.6</v>
      </c>
      <c r="E172" s="67">
        <v>0.05</v>
      </c>
      <c r="F172" s="73">
        <v>0.7</v>
      </c>
      <c r="G172" s="74">
        <v>18</v>
      </c>
      <c r="H172" s="234">
        <v>26.43</v>
      </c>
      <c r="I172"/>
      <c r="J172"/>
      <c r="K172"/>
      <c r="L172"/>
      <c r="M172"/>
    </row>
    <row r="173" spans="1:13" ht="14.25" hidden="1" customHeight="1" x14ac:dyDescent="0.25">
      <c r="A173"/>
      <c r="B173"/>
      <c r="C173" s="66"/>
      <c r="D173" s="67"/>
      <c r="E173" s="67"/>
      <c r="F173" s="73"/>
      <c r="G173" s="74"/>
      <c r="H173" s="96"/>
      <c r="I173"/>
      <c r="J173"/>
      <c r="K173"/>
      <c r="L173"/>
      <c r="M173"/>
    </row>
    <row r="174" spans="1:13" ht="14.25" hidden="1" customHeight="1" x14ac:dyDescent="0.25">
      <c r="A174"/>
      <c r="B174" s="458" t="s">
        <v>980</v>
      </c>
      <c r="C174" s="66" t="s">
        <v>998</v>
      </c>
      <c r="D174" s="67">
        <v>100</v>
      </c>
      <c r="E174" s="67">
        <v>0.05</v>
      </c>
      <c r="F174" s="73">
        <v>0.8</v>
      </c>
      <c r="G174" s="228">
        <v>3</v>
      </c>
      <c r="H174" s="229">
        <f>G174*F174*E174*D174</f>
        <v>12.000000000000002</v>
      </c>
      <c r="I174"/>
      <c r="J174"/>
      <c r="K174"/>
      <c r="L174"/>
      <c r="M174"/>
    </row>
    <row r="175" spans="1:13" ht="14.25" hidden="1" customHeight="1" x14ac:dyDescent="0.25">
      <c r="A175"/>
      <c r="B175" s="458"/>
      <c r="C175" s="66" t="s">
        <v>999</v>
      </c>
      <c r="D175" s="67">
        <v>15</v>
      </c>
      <c r="E175" s="67">
        <v>0.05</v>
      </c>
      <c r="F175" s="73">
        <v>0.8</v>
      </c>
      <c r="G175" s="228">
        <v>9</v>
      </c>
      <c r="H175" s="229">
        <f t="shared" ref="H175:H189" si="3">G175*F175*E175*D175</f>
        <v>5.4</v>
      </c>
      <c r="I175"/>
      <c r="J175"/>
      <c r="K175"/>
      <c r="L175"/>
      <c r="M175"/>
    </row>
    <row r="176" spans="1:13" ht="14.25" hidden="1" customHeight="1" x14ac:dyDescent="0.25">
      <c r="A176"/>
      <c r="B176" s="458"/>
      <c r="C176" s="66" t="s">
        <v>1000</v>
      </c>
      <c r="D176" s="67">
        <v>6.6</v>
      </c>
      <c r="E176" s="67">
        <v>0.05</v>
      </c>
      <c r="F176" s="73">
        <v>0.8</v>
      </c>
      <c r="G176" s="228">
        <v>16</v>
      </c>
      <c r="H176" s="229">
        <f t="shared" si="3"/>
        <v>4.2240000000000002</v>
      </c>
      <c r="I176"/>
      <c r="J176"/>
      <c r="K176"/>
      <c r="L176"/>
      <c r="M176"/>
    </row>
    <row r="177" spans="1:13" ht="14.25" hidden="1" customHeight="1" x14ac:dyDescent="0.25">
      <c r="A177"/>
      <c r="B177" s="458"/>
      <c r="C177" s="230" t="s">
        <v>1001</v>
      </c>
      <c r="D177" s="231">
        <v>0.3</v>
      </c>
      <c r="E177" s="231">
        <v>0.05</v>
      </c>
      <c r="F177" s="232">
        <v>0.6</v>
      </c>
      <c r="G177" s="233">
        <v>58</v>
      </c>
      <c r="H177" s="234">
        <f t="shared" si="3"/>
        <v>0.52200000000000002</v>
      </c>
      <c r="I177"/>
      <c r="J177"/>
      <c r="K177"/>
      <c r="L177"/>
      <c r="M177"/>
    </row>
    <row r="178" spans="1:13" ht="14.25" hidden="1" customHeight="1" x14ac:dyDescent="0.25">
      <c r="A178"/>
      <c r="B178" s="458"/>
      <c r="C178" s="66" t="s">
        <v>997</v>
      </c>
      <c r="D178" s="67">
        <v>70</v>
      </c>
      <c r="E178" s="67">
        <v>0.05</v>
      </c>
      <c r="F178" s="73">
        <v>0.8</v>
      </c>
      <c r="G178" s="228">
        <v>1</v>
      </c>
      <c r="H178" s="229">
        <f t="shared" si="3"/>
        <v>2.8000000000000007</v>
      </c>
      <c r="I178"/>
      <c r="J178"/>
      <c r="K178"/>
      <c r="L178"/>
      <c r="M178"/>
    </row>
    <row r="179" spans="1:13" ht="14.25" hidden="1" customHeight="1" x14ac:dyDescent="0.25">
      <c r="A179"/>
      <c r="B179" s="458"/>
      <c r="C179" s="230" t="s">
        <v>1002</v>
      </c>
      <c r="D179" s="231">
        <v>0.3</v>
      </c>
      <c r="E179" s="231">
        <v>0.05</v>
      </c>
      <c r="F179" s="232">
        <v>0.6</v>
      </c>
      <c r="G179" s="233">
        <v>-18</v>
      </c>
      <c r="H179" s="234">
        <f t="shared" si="3"/>
        <v>-0.16199999999999998</v>
      </c>
      <c r="I179"/>
      <c r="J179"/>
      <c r="K179"/>
      <c r="L179"/>
      <c r="M179"/>
    </row>
    <row r="180" spans="1:13" ht="14.25" hidden="1" customHeight="1" x14ac:dyDescent="0.25">
      <c r="A180"/>
      <c r="B180" s="458"/>
      <c r="C180" s="182" t="s">
        <v>988</v>
      </c>
      <c r="D180" s="225">
        <v>0.6</v>
      </c>
      <c r="E180" s="224">
        <v>0.05</v>
      </c>
      <c r="F180" s="226">
        <v>0.8</v>
      </c>
      <c r="G180" s="224">
        <v>16</v>
      </c>
      <c r="H180" s="229">
        <f t="shared" si="3"/>
        <v>0.38400000000000006</v>
      </c>
      <c r="I180"/>
      <c r="J180"/>
      <c r="K180"/>
      <c r="L180"/>
      <c r="M180"/>
    </row>
    <row r="181" spans="1:13" ht="14.25" hidden="1" customHeight="1" x14ac:dyDescent="0.25">
      <c r="A181"/>
      <c r="B181" s="458"/>
      <c r="C181" s="182" t="s">
        <v>992</v>
      </c>
      <c r="D181" s="67">
        <v>100</v>
      </c>
      <c r="E181" s="67">
        <v>0.05</v>
      </c>
      <c r="F181" s="73">
        <v>0.8</v>
      </c>
      <c r="G181" s="228">
        <v>1</v>
      </c>
      <c r="H181" s="229">
        <f t="shared" si="3"/>
        <v>4.0000000000000009</v>
      </c>
      <c r="I181"/>
      <c r="J181"/>
      <c r="K181"/>
      <c r="L181"/>
      <c r="M181"/>
    </row>
    <row r="182" spans="1:13" ht="14.25" hidden="1" customHeight="1" x14ac:dyDescent="0.25">
      <c r="A182"/>
      <c r="B182" s="458"/>
      <c r="C182" s="235" t="s">
        <v>1003</v>
      </c>
      <c r="D182" s="231">
        <v>0.2</v>
      </c>
      <c r="E182" s="231">
        <v>0.05</v>
      </c>
      <c r="F182" s="232">
        <v>0.6</v>
      </c>
      <c r="G182" s="233">
        <v>-16</v>
      </c>
      <c r="H182" s="234">
        <f t="shared" si="3"/>
        <v>-9.6000000000000002E-2</v>
      </c>
      <c r="I182"/>
      <c r="J182"/>
      <c r="K182"/>
      <c r="L182"/>
      <c r="M182"/>
    </row>
    <row r="183" spans="1:13" ht="14.25" hidden="1" customHeight="1" x14ac:dyDescent="0.25">
      <c r="A183"/>
      <c r="B183" s="458"/>
      <c r="C183" s="182" t="s">
        <v>987</v>
      </c>
      <c r="D183" s="225">
        <v>0.85</v>
      </c>
      <c r="E183" s="225">
        <v>0.05</v>
      </c>
      <c r="F183" s="226">
        <v>0.8</v>
      </c>
      <c r="G183" s="227">
        <v>14</v>
      </c>
      <c r="H183" s="229">
        <f t="shared" si="3"/>
        <v>0.47600000000000003</v>
      </c>
      <c r="I183"/>
      <c r="J183"/>
      <c r="K183"/>
      <c r="L183"/>
      <c r="M183"/>
    </row>
    <row r="184" spans="1:13" ht="14.25" hidden="1" customHeight="1" x14ac:dyDescent="0.25">
      <c r="A184"/>
      <c r="B184" s="458"/>
      <c r="C184" s="182" t="s">
        <v>993</v>
      </c>
      <c r="D184" s="224">
        <v>90</v>
      </c>
      <c r="E184" s="224">
        <v>0.05</v>
      </c>
      <c r="F184" s="224">
        <v>0.8</v>
      </c>
      <c r="G184" s="224"/>
      <c r="H184" s="229">
        <f>F184*E184*D184</f>
        <v>3.6000000000000005</v>
      </c>
      <c r="I184"/>
      <c r="J184"/>
      <c r="K184"/>
      <c r="L184"/>
      <c r="M184"/>
    </row>
    <row r="185" spans="1:13" ht="14.25" hidden="1" customHeight="1" x14ac:dyDescent="0.25">
      <c r="A185"/>
      <c r="B185" s="458"/>
      <c r="C185" s="235" t="s">
        <v>1004</v>
      </c>
      <c r="D185" s="237">
        <v>0.2</v>
      </c>
      <c r="E185" s="238">
        <v>0.05</v>
      </c>
      <c r="F185" s="238">
        <v>0.6</v>
      </c>
      <c r="G185" s="238">
        <v>-14</v>
      </c>
      <c r="H185" s="234">
        <f>G185*F185*E185*D185</f>
        <v>-8.4000000000000019E-2</v>
      </c>
      <c r="I185"/>
      <c r="J185"/>
      <c r="K185"/>
      <c r="L185"/>
      <c r="M185"/>
    </row>
    <row r="186" spans="1:13" ht="14.25" hidden="1" customHeight="1" x14ac:dyDescent="0.25">
      <c r="A186"/>
      <c r="B186" s="458"/>
      <c r="C186" s="182" t="s">
        <v>989</v>
      </c>
      <c r="D186" s="224">
        <v>0.8</v>
      </c>
      <c r="E186" s="224">
        <v>0.05</v>
      </c>
      <c r="F186" s="224">
        <v>0.8</v>
      </c>
      <c r="G186" s="224">
        <f>4*3</f>
        <v>12</v>
      </c>
      <c r="H186" s="229">
        <f>G186*F186*E186*D186+0.054</f>
        <v>0.43800000000000011</v>
      </c>
      <c r="I186"/>
      <c r="J186"/>
      <c r="K186"/>
      <c r="L186"/>
      <c r="M186"/>
    </row>
    <row r="187" spans="1:13" ht="14.25" hidden="1" customHeight="1" x14ac:dyDescent="0.25">
      <c r="A187"/>
      <c r="B187" s="458"/>
      <c r="C187" s="182" t="s">
        <v>994</v>
      </c>
      <c r="D187" s="224">
        <v>10</v>
      </c>
      <c r="E187" s="224">
        <v>0.05</v>
      </c>
      <c r="F187" s="224">
        <v>0.6</v>
      </c>
      <c r="G187" s="224">
        <f>3</f>
        <v>3</v>
      </c>
      <c r="H187" s="229">
        <f t="shared" si="3"/>
        <v>0.89999999999999991</v>
      </c>
      <c r="I187"/>
      <c r="J187"/>
      <c r="K187"/>
      <c r="L187"/>
      <c r="M187"/>
    </row>
    <row r="188" spans="1:13" ht="14.25" hidden="1" customHeight="1" x14ac:dyDescent="0.25">
      <c r="A188"/>
      <c r="B188" s="458"/>
      <c r="C188" s="235" t="s">
        <v>1005</v>
      </c>
      <c r="D188" s="237">
        <v>0.2</v>
      </c>
      <c r="E188" s="238">
        <v>0.05</v>
      </c>
      <c r="F188" s="238">
        <v>0.6</v>
      </c>
      <c r="G188" s="238">
        <v>-12</v>
      </c>
      <c r="H188" s="234">
        <f t="shared" si="3"/>
        <v>-7.1999999999999995E-2</v>
      </c>
      <c r="I188"/>
      <c r="J188"/>
      <c r="K188"/>
      <c r="L188"/>
      <c r="M188"/>
    </row>
    <row r="189" spans="1:13" ht="14.25" hidden="1" customHeight="1" x14ac:dyDescent="0.25">
      <c r="A189"/>
      <c r="B189" s="458"/>
      <c r="C189" s="182" t="s">
        <v>990</v>
      </c>
      <c r="D189" s="224">
        <v>0.45</v>
      </c>
      <c r="E189" s="224">
        <v>0.05</v>
      </c>
      <c r="F189" s="224">
        <v>0.8</v>
      </c>
      <c r="G189" s="224">
        <v>8</v>
      </c>
      <c r="H189" s="229">
        <f t="shared" si="3"/>
        <v>0.14400000000000004</v>
      </c>
      <c r="I189"/>
      <c r="J189"/>
      <c r="K189"/>
      <c r="L189"/>
      <c r="M189"/>
    </row>
    <row r="190" spans="1:13" ht="14.25" hidden="1" customHeight="1" x14ac:dyDescent="0.25">
      <c r="A190"/>
      <c r="B190" s="458"/>
      <c r="C190" s="182" t="s">
        <v>995</v>
      </c>
      <c r="D190" s="224">
        <v>25</v>
      </c>
      <c r="E190" s="224">
        <v>0.05</v>
      </c>
      <c r="F190" s="224">
        <v>0.8</v>
      </c>
      <c r="G190" s="224"/>
      <c r="H190" s="229">
        <f>F190*E190*D190</f>
        <v>1.0000000000000002</v>
      </c>
      <c r="I190"/>
      <c r="J190"/>
      <c r="K190"/>
      <c r="L190"/>
      <c r="M190"/>
    </row>
    <row r="191" spans="1:13" ht="14.25" hidden="1" customHeight="1" x14ac:dyDescent="0.25">
      <c r="A191"/>
      <c r="B191" s="458"/>
      <c r="C191" s="235" t="s">
        <v>1006</v>
      </c>
      <c r="D191" s="231">
        <v>0.2</v>
      </c>
      <c r="E191" s="231">
        <v>0.05</v>
      </c>
      <c r="F191" s="232">
        <v>0.3</v>
      </c>
      <c r="G191" s="76">
        <v>-8</v>
      </c>
      <c r="H191" s="229">
        <f>G191*F191*E191*D191</f>
        <v>-2.4E-2</v>
      </c>
      <c r="I191"/>
      <c r="J191"/>
      <c r="K191"/>
      <c r="L191"/>
      <c r="M191"/>
    </row>
    <row r="192" spans="1:13" ht="14.25" hidden="1" customHeight="1" x14ac:dyDescent="0.25">
      <c r="A192"/>
      <c r="B192"/>
      <c r="C192" s="66"/>
      <c r="D192" s="67"/>
      <c r="E192" s="67"/>
      <c r="F192" s="73"/>
      <c r="G192" s="74"/>
      <c r="H192" s="96"/>
      <c r="I192"/>
      <c r="J192"/>
      <c r="K192"/>
      <c r="L192"/>
      <c r="M192"/>
    </row>
    <row r="193" spans="1:13" ht="14.25" hidden="1" customHeight="1" x14ac:dyDescent="0.25">
      <c r="A193"/>
      <c r="B193"/>
      <c r="C193" s="66"/>
      <c r="D193" s="67"/>
      <c r="E193" s="67"/>
      <c r="F193" s="73"/>
      <c r="G193" s="74"/>
      <c r="H193" s="96"/>
      <c r="I193"/>
      <c r="J193"/>
      <c r="K193"/>
      <c r="L193"/>
      <c r="M193"/>
    </row>
    <row r="194" spans="1:13" ht="14.25" hidden="1" customHeight="1" x14ac:dyDescent="0.25">
      <c r="A194"/>
      <c r="B194"/>
      <c r="C194" s="66"/>
      <c r="D194" s="67"/>
      <c r="E194" s="67"/>
      <c r="F194" s="73"/>
      <c r="G194" s="74"/>
      <c r="H194" s="96"/>
      <c r="I194"/>
      <c r="J194"/>
      <c r="K194"/>
      <c r="L194"/>
      <c r="M194"/>
    </row>
    <row r="195" spans="1:13" ht="37.5" hidden="1" customHeight="1" x14ac:dyDescent="0.25">
      <c r="A195" s="80" t="s">
        <v>629</v>
      </c>
      <c r="B195" s="81"/>
      <c r="C195" s="82" t="str">
        <f>VLOOKUP(A195,'[2]Orçamento Sintético'!A:J,4,0)</f>
        <v>FABRICAÇÃO, MONTAGEM E DESMONTAGEM DE FÔRMA PARA SAPATA, EM MADEIRA SERRADA, E=25 MM, 4 UTILIZAÇÕES. AF_06/2017</v>
      </c>
      <c r="D195" s="81"/>
      <c r="E195" s="81" t="str">
        <f>VLOOKUP(A195,'[2]Orçamento Sintético'!A:J,5,0)</f>
        <v>m²</v>
      </c>
      <c r="F195" s="462" t="s">
        <v>1084</v>
      </c>
      <c r="G195" s="462"/>
      <c r="H195" s="85">
        <f>SUM(H205:H208)</f>
        <v>52.85</v>
      </c>
      <c r="I195" s="221"/>
      <c r="J195"/>
      <c r="K195"/>
      <c r="L195"/>
      <c r="M195"/>
    </row>
    <row r="196" spans="1:13" ht="14.25" hidden="1" customHeight="1" x14ac:dyDescent="0.25">
      <c r="A196" s="65"/>
      <c r="B196" s="65"/>
      <c r="C196" s="66"/>
      <c r="D196" s="67"/>
      <c r="E196" s="67"/>
      <c r="F196" s="463" t="s">
        <v>578</v>
      </c>
      <c r="G196" s="464"/>
      <c r="H196" s="68"/>
      <c r="I196"/>
      <c r="J196"/>
      <c r="K196"/>
      <c r="L196"/>
      <c r="M196"/>
    </row>
    <row r="197" spans="1:13" ht="14.25" hidden="1" customHeight="1" x14ac:dyDescent="0.25">
      <c r="A197" s="65"/>
      <c r="B197" s="65"/>
      <c r="C197" s="66"/>
      <c r="D197" s="67"/>
      <c r="E197" s="67"/>
      <c r="F197" s="456" t="s">
        <v>579</v>
      </c>
      <c r="G197" s="456"/>
      <c r="H197" s="68">
        <f>VLOOKUP(A195,'[2]Orçamento Sintético'!A:J,6,0)</f>
        <v>165.15</v>
      </c>
      <c r="I197"/>
      <c r="J197"/>
      <c r="K197"/>
      <c r="L197"/>
      <c r="M197"/>
    </row>
    <row r="198" spans="1:13" ht="14.25" hidden="1" customHeight="1" x14ac:dyDescent="0.25">
      <c r="A198" s="65"/>
      <c r="B198" s="65"/>
      <c r="C198" s="66"/>
      <c r="D198" s="67"/>
      <c r="E198" s="67"/>
      <c r="F198" s="456" t="s">
        <v>596</v>
      </c>
      <c r="G198" s="456"/>
      <c r="H198" s="69">
        <f>SUM(H201:H208)</f>
        <v>165.14999999999998</v>
      </c>
      <c r="I198"/>
      <c r="J198"/>
      <c r="K198"/>
      <c r="L198"/>
      <c r="M198"/>
    </row>
    <row r="199" spans="1:13" ht="14.25" hidden="1" customHeight="1" x14ac:dyDescent="0.25">
      <c r="A199" s="65"/>
      <c r="B199" s="65"/>
      <c r="C199" s="66"/>
      <c r="D199" s="67"/>
      <c r="E199" s="67"/>
      <c r="F199" s="457" t="s">
        <v>580</v>
      </c>
      <c r="G199" s="457"/>
      <c r="H199" s="69">
        <f>H197-H198</f>
        <v>0</v>
      </c>
      <c r="I199"/>
      <c r="J199"/>
      <c r="K199"/>
      <c r="L199"/>
      <c r="M199"/>
    </row>
    <row r="200" spans="1:13" ht="14.25" hidden="1" customHeight="1" x14ac:dyDescent="0.25">
      <c r="A200" s="65"/>
      <c r="B200" s="65"/>
      <c r="C200" s="66"/>
      <c r="D200" s="70" t="s">
        <v>971</v>
      </c>
      <c r="E200" s="70" t="s">
        <v>972</v>
      </c>
      <c r="F200" s="70" t="s">
        <v>976</v>
      </c>
      <c r="G200" s="71" t="s">
        <v>584</v>
      </c>
      <c r="H200" s="75"/>
      <c r="I200"/>
      <c r="J200"/>
      <c r="K200"/>
      <c r="L200"/>
      <c r="M200"/>
    </row>
    <row r="201" spans="1:13" ht="14.25" hidden="1" customHeight="1" x14ac:dyDescent="0.25">
      <c r="A201" s="65"/>
      <c r="B201" s="72" t="s">
        <v>612</v>
      </c>
      <c r="C201" s="66" t="s">
        <v>630</v>
      </c>
      <c r="D201" s="67"/>
      <c r="E201" s="67"/>
      <c r="F201" s="73"/>
      <c r="G201" s="74">
        <v>112.3</v>
      </c>
      <c r="H201" s="96">
        <f>G201</f>
        <v>112.3</v>
      </c>
      <c r="I201"/>
      <c r="J201"/>
      <c r="K201"/>
      <c r="L201"/>
      <c r="M201"/>
    </row>
    <row r="202" spans="1:13" ht="14.25" hidden="1" customHeight="1" x14ac:dyDescent="0.25">
      <c r="A202" s="65"/>
      <c r="B202" s="72"/>
      <c r="C202" s="66"/>
      <c r="D202" s="67"/>
      <c r="E202" s="67"/>
      <c r="F202" s="73"/>
      <c r="G202" s="74"/>
      <c r="H202" s="96"/>
      <c r="I202"/>
      <c r="J202"/>
      <c r="K202"/>
      <c r="L202"/>
      <c r="M202"/>
    </row>
    <row r="203" spans="1:13" ht="14.25" hidden="1" customHeight="1" x14ac:dyDescent="0.25">
      <c r="A203" s="65"/>
      <c r="B203" s="72"/>
      <c r="C203" s="66"/>
      <c r="D203" s="67"/>
      <c r="E203" s="67"/>
      <c r="F203" s="73"/>
      <c r="G203" s="74"/>
      <c r="H203" s="96"/>
      <c r="I203"/>
      <c r="J203"/>
      <c r="K203"/>
      <c r="L203"/>
      <c r="M203"/>
    </row>
    <row r="204" spans="1:13" ht="14.25" hidden="1" customHeight="1" x14ac:dyDescent="0.25">
      <c r="A204" s="65"/>
      <c r="B204" s="72"/>
      <c r="C204" s="66"/>
      <c r="D204" s="67"/>
      <c r="E204" s="67"/>
      <c r="F204" s="73"/>
      <c r="G204" s="74"/>
      <c r="H204" s="96"/>
      <c r="I204"/>
      <c r="J204"/>
      <c r="K204"/>
      <c r="L204"/>
      <c r="M204"/>
    </row>
    <row r="205" spans="1:13" ht="14.25" hidden="1" customHeight="1" x14ac:dyDescent="0.25">
      <c r="A205"/>
      <c r="B205" s="506" t="s">
        <v>980</v>
      </c>
      <c r="C205" s="182" t="s">
        <v>987</v>
      </c>
      <c r="D205">
        <f>2*0.65</f>
        <v>1.3</v>
      </c>
      <c r="E205" s="108"/>
      <c r="F205" s="108">
        <f>2*0.75</f>
        <v>1.5</v>
      </c>
      <c r="G205" s="108">
        <f>14/2</f>
        <v>7</v>
      </c>
      <c r="H205" s="96">
        <f>G205*F205*D205*2</f>
        <v>27.3</v>
      </c>
      <c r="I205"/>
      <c r="J205"/>
      <c r="K205"/>
      <c r="L205"/>
      <c r="M205"/>
    </row>
    <row r="206" spans="1:13" ht="14.25" hidden="1" customHeight="1" x14ac:dyDescent="0.25">
      <c r="A206"/>
      <c r="B206" s="506"/>
      <c r="C206" s="182" t="s">
        <v>988</v>
      </c>
      <c r="D206" s="95">
        <f>2*0.6</f>
        <v>1.2</v>
      </c>
      <c r="E206" s="108"/>
      <c r="F206" s="108">
        <f>2*0.65</f>
        <v>1.3</v>
      </c>
      <c r="G206" s="108">
        <f>16/2</f>
        <v>8</v>
      </c>
      <c r="H206" s="96">
        <f>G206*F206*D206+0.11</f>
        <v>12.59</v>
      </c>
      <c r="I206"/>
      <c r="J206"/>
      <c r="K206"/>
      <c r="L206"/>
      <c r="M206">
        <v>23.79</v>
      </c>
    </row>
    <row r="207" spans="1:13" ht="14.25" hidden="1" customHeight="1" x14ac:dyDescent="0.25">
      <c r="A207"/>
      <c r="B207" s="506"/>
      <c r="C207" s="182" t="s">
        <v>989</v>
      </c>
      <c r="D207" s="95">
        <f>2*0.6</f>
        <v>1.2</v>
      </c>
      <c r="E207" s="108"/>
      <c r="F207" s="224">
        <f>2*0.6</f>
        <v>1.2</v>
      </c>
      <c r="G207" s="108">
        <f>(4*3)/2</f>
        <v>6</v>
      </c>
      <c r="H207" s="96">
        <f t="shared" ref="H207:H208" si="4">G207*F207*D207</f>
        <v>8.6399999999999988</v>
      </c>
      <c r="I207"/>
      <c r="J207"/>
      <c r="K207"/>
      <c r="L207"/>
      <c r="M207"/>
    </row>
    <row r="208" spans="1:13" ht="14.25" hidden="1" customHeight="1" x14ac:dyDescent="0.25">
      <c r="A208"/>
      <c r="B208" s="506"/>
      <c r="C208" s="182" t="s">
        <v>990</v>
      </c>
      <c r="D208" s="240">
        <v>0.9</v>
      </c>
      <c r="E208" s="108"/>
      <c r="F208" s="108">
        <f>2*0.3</f>
        <v>0.6</v>
      </c>
      <c r="G208" s="108">
        <f>8</f>
        <v>8</v>
      </c>
      <c r="H208" s="96">
        <f t="shared" si="4"/>
        <v>4.32</v>
      </c>
      <c r="I208"/>
      <c r="J208"/>
      <c r="K208"/>
      <c r="L208"/>
      <c r="M208"/>
    </row>
    <row r="209" spans="1:14" ht="14.25" customHeight="1" x14ac:dyDescent="0.25">
      <c r="A209"/>
      <c r="B209"/>
      <c r="C209" s="66"/>
      <c r="D209" s="67"/>
      <c r="E209" s="67"/>
      <c r="F209" s="73"/>
      <c r="G209" s="74"/>
      <c r="H209" s="96"/>
      <c r="I209"/>
      <c r="J209"/>
      <c r="K209"/>
      <c r="L209"/>
      <c r="M209"/>
    </row>
    <row r="210" spans="1:14" ht="39.6" x14ac:dyDescent="0.25">
      <c r="A210" s="80" t="s">
        <v>638</v>
      </c>
      <c r="B210" s="81"/>
      <c r="C210" s="82" t="str">
        <f>VLOOKUP(A210,'[2]Orçamento Sintético'!A:J,4,0)</f>
        <v>ARMAÇÃO DE ESTRUTURAS DIVERSAS DE CONCRETO ARMADO, EXCETO VIGAS, PILARES, LAJES E FUNDAÇÕES, UTILIZANDO AÇO CA-50 DE 6,3 MM - MONTAGEM. AF_06/2022</v>
      </c>
      <c r="D210" s="81"/>
      <c r="E210" s="81" t="str">
        <f>VLOOKUP(A210,'[2]Orçamento Sintético'!A:J,5,0)</f>
        <v>KG</v>
      </c>
      <c r="F210" s="462" t="s">
        <v>1084</v>
      </c>
      <c r="G210" s="462"/>
      <c r="H210" s="85">
        <f>H216</f>
        <v>6.55</v>
      </c>
      <c r="I210" s="216"/>
      <c r="J210"/>
      <c r="K210"/>
      <c r="L210"/>
      <c r="M210"/>
    </row>
    <row r="211" spans="1:14" ht="14.25" customHeight="1" x14ac:dyDescent="0.25">
      <c r="A211" s="65"/>
      <c r="B211" s="65"/>
      <c r="C211" s="66"/>
      <c r="D211" s="67"/>
      <c r="E211" s="67"/>
      <c r="F211" s="463" t="s">
        <v>578</v>
      </c>
      <c r="G211" s="464"/>
      <c r="H211" s="68">
        <v>0</v>
      </c>
      <c r="I211"/>
      <c r="J211"/>
      <c r="K211"/>
      <c r="L211"/>
      <c r="M211"/>
    </row>
    <row r="212" spans="1:14" ht="14.25" customHeight="1" x14ac:dyDescent="0.25">
      <c r="A212" s="65"/>
      <c r="B212" s="65"/>
      <c r="C212" s="66"/>
      <c r="D212" s="67"/>
      <c r="E212" s="67"/>
      <c r="F212" s="456" t="s">
        <v>579</v>
      </c>
      <c r="G212" s="456"/>
      <c r="H212" s="377">
        <f>VLOOKUP(A210,'[2]Orçamento Sintético'!A:J,6,0)</f>
        <v>6.55</v>
      </c>
      <c r="I212"/>
      <c r="J212"/>
      <c r="K212"/>
      <c r="L212"/>
      <c r="M212"/>
    </row>
    <row r="213" spans="1:14" ht="14.25" customHeight="1" x14ac:dyDescent="0.25">
      <c r="A213" s="65"/>
      <c r="B213" s="65"/>
      <c r="C213" s="66"/>
      <c r="D213" s="67"/>
      <c r="E213" s="67"/>
      <c r="F213" s="456" t="s">
        <v>596</v>
      </c>
      <c r="G213" s="456"/>
      <c r="H213" s="264">
        <f>H216</f>
        <v>6.55</v>
      </c>
      <c r="I213"/>
      <c r="J213"/>
      <c r="K213"/>
      <c r="L213"/>
      <c r="M213"/>
    </row>
    <row r="214" spans="1:14" ht="14.25" customHeight="1" x14ac:dyDescent="0.25">
      <c r="A214" s="65"/>
      <c r="B214" s="65"/>
      <c r="C214" s="66"/>
      <c r="D214" s="67"/>
      <c r="E214" s="67"/>
      <c r="F214" s="457" t="s">
        <v>580</v>
      </c>
      <c r="G214" s="457"/>
      <c r="H214" s="264">
        <f>H212-H213</f>
        <v>0</v>
      </c>
      <c r="I214"/>
      <c r="J214"/>
      <c r="K214"/>
      <c r="L214"/>
      <c r="M214"/>
    </row>
    <row r="215" spans="1:14" ht="37.5" customHeight="1" x14ac:dyDescent="0.25">
      <c r="A215" s="65"/>
      <c r="B215" s="65"/>
      <c r="C215" s="66"/>
      <c r="D215" s="70" t="s">
        <v>971</v>
      </c>
      <c r="E215" s="70" t="s">
        <v>974</v>
      </c>
      <c r="F215" s="70" t="s">
        <v>975</v>
      </c>
      <c r="G215" s="71" t="s">
        <v>584</v>
      </c>
      <c r="H215" s="378"/>
      <c r="I215"/>
      <c r="J215"/>
      <c r="K215"/>
      <c r="L215"/>
      <c r="M215"/>
    </row>
    <row r="216" spans="1:14" ht="14.25" customHeight="1" x14ac:dyDescent="0.25">
      <c r="A216" s="65"/>
      <c r="B216" s="365" t="s">
        <v>1085</v>
      </c>
      <c r="C216" s="66" t="s">
        <v>963</v>
      </c>
      <c r="D216" s="67"/>
      <c r="E216" s="67"/>
      <c r="F216" s="98">
        <v>6.55</v>
      </c>
      <c r="G216" s="98"/>
      <c r="H216" s="229">
        <f>F216</f>
        <v>6.55</v>
      </c>
      <c r="I216"/>
      <c r="J216"/>
      <c r="K216"/>
      <c r="L216"/>
      <c r="M216"/>
    </row>
    <row r="217" spans="1:14" ht="14.25" customHeight="1" x14ac:dyDescent="0.25">
      <c r="A217"/>
      <c r="B217"/>
      <c r="C217" s="66"/>
      <c r="D217" s="67"/>
      <c r="E217" s="67"/>
      <c r="F217" s="73"/>
      <c r="G217" s="74"/>
      <c r="H217" s="96"/>
      <c r="I217"/>
      <c r="J217"/>
      <c r="K217"/>
      <c r="L217"/>
      <c r="M217"/>
    </row>
    <row r="218" spans="1:14" ht="14.25" customHeight="1" x14ac:dyDescent="0.25">
      <c r="A218"/>
      <c r="B218"/>
      <c r="C218" s="66"/>
      <c r="D218" s="67"/>
      <c r="E218" s="67"/>
      <c r="F218" s="73"/>
      <c r="G218" s="74"/>
      <c r="H218" s="96"/>
      <c r="I218"/>
      <c r="J218"/>
      <c r="K218"/>
      <c r="L218"/>
      <c r="M218"/>
    </row>
    <row r="219" spans="1:14" ht="39.6" x14ac:dyDescent="0.25">
      <c r="A219" s="80" t="s">
        <v>639</v>
      </c>
      <c r="B219" s="81"/>
      <c r="C219" s="82" t="str">
        <f>VLOOKUP(A219,'[2]Orçamento Sintético'!A:J,4,0)</f>
        <v>ARMAÇÃO DE ESTRUTURAS DIVERSAS DE CONCRETO ARMADO, EXCETO VIGAS, PILARES, LAJES E FUNDAÇÕES, UTILIZANDO AÇO CA-50 DE 8,0 MM - MONTAGEM. AF_06/2022</v>
      </c>
      <c r="D219" s="81"/>
      <c r="E219" s="81" t="str">
        <f>VLOOKUP(A219,'[2]Orçamento Sintético'!A:J,5,0)</f>
        <v>KG</v>
      </c>
      <c r="F219" s="462" t="s">
        <v>1084</v>
      </c>
      <c r="G219" s="462"/>
      <c r="H219" s="85">
        <f>H225</f>
        <v>32.450000000000003</v>
      </c>
      <c r="I219" s="216"/>
      <c r="J219"/>
      <c r="K219"/>
      <c r="L219"/>
      <c r="M219"/>
      <c r="N219" s="364" t="e">
        <f>H221/M219</f>
        <v>#DIV/0!</v>
      </c>
    </row>
    <row r="220" spans="1:14" ht="14.25" customHeight="1" x14ac:dyDescent="0.25">
      <c r="A220" s="65"/>
      <c r="B220" s="65"/>
      <c r="C220" s="66"/>
      <c r="D220" s="67"/>
      <c r="E220" s="67"/>
      <c r="F220" s="463" t="s">
        <v>578</v>
      </c>
      <c r="G220" s="464"/>
      <c r="H220" s="377">
        <v>0</v>
      </c>
      <c r="I220"/>
      <c r="J220"/>
      <c r="K220"/>
      <c r="L220"/>
      <c r="M220"/>
    </row>
    <row r="221" spans="1:14" ht="14.25" customHeight="1" x14ac:dyDescent="0.25">
      <c r="A221" s="65"/>
      <c r="B221" s="65"/>
      <c r="C221" s="66"/>
      <c r="D221" s="67"/>
      <c r="E221" s="67"/>
      <c r="F221" s="456" t="s">
        <v>579</v>
      </c>
      <c r="G221" s="456"/>
      <c r="H221" s="377">
        <f>VLOOKUP(A219,'[2]Orçamento Sintético'!A:J,6,0)</f>
        <v>32.450000000000003</v>
      </c>
      <c r="I221"/>
      <c r="J221"/>
      <c r="K221"/>
      <c r="L221"/>
      <c r="M221"/>
      <c r="N221" s="364" t="e">
        <f>#REF!/M219</f>
        <v>#REF!</v>
      </c>
    </row>
    <row r="222" spans="1:14" ht="14.25" customHeight="1" x14ac:dyDescent="0.25">
      <c r="A222" s="65"/>
      <c r="B222" s="65"/>
      <c r="C222" s="66"/>
      <c r="D222" s="67"/>
      <c r="E222" s="67"/>
      <c r="F222" s="456" t="s">
        <v>596</v>
      </c>
      <c r="G222" s="456"/>
      <c r="H222" s="264">
        <f>SUM(H225:H226)</f>
        <v>32.450000000000003</v>
      </c>
      <c r="I222"/>
      <c r="J222"/>
      <c r="K222"/>
      <c r="L222"/>
      <c r="M222"/>
      <c r="N222" s="364"/>
    </row>
    <row r="223" spans="1:14" ht="14.25" customHeight="1" x14ac:dyDescent="0.25">
      <c r="A223" s="65"/>
      <c r="B223" s="65"/>
      <c r="C223" s="66"/>
      <c r="D223" s="67"/>
      <c r="E223" s="67"/>
      <c r="F223" s="457" t="s">
        <v>580</v>
      </c>
      <c r="G223" s="457"/>
      <c r="H223" s="264">
        <f>H221-H222</f>
        <v>0</v>
      </c>
      <c r="I223"/>
      <c r="J223"/>
      <c r="K223"/>
      <c r="L223"/>
      <c r="M223"/>
      <c r="N223" s="364"/>
    </row>
    <row r="224" spans="1:14" ht="14.25" customHeight="1" x14ac:dyDescent="0.25">
      <c r="A224" s="65"/>
      <c r="B224" s="65"/>
      <c r="C224" s="66"/>
      <c r="D224" s="70" t="s">
        <v>971</v>
      </c>
      <c r="E224" s="70" t="s">
        <v>974</v>
      </c>
      <c r="F224" s="70" t="s">
        <v>975</v>
      </c>
      <c r="G224" s="71" t="s">
        <v>584</v>
      </c>
      <c r="H224" s="378"/>
      <c r="I224"/>
      <c r="J224"/>
      <c r="K224"/>
      <c r="L224"/>
      <c r="M224"/>
    </row>
    <row r="225" spans="1:13" ht="14.25" customHeight="1" x14ac:dyDescent="0.25">
      <c r="A225" s="65"/>
      <c r="B225" s="365" t="s">
        <v>1085</v>
      </c>
      <c r="C225" s="66" t="s">
        <v>963</v>
      </c>
      <c r="D225" s="67"/>
      <c r="E225" s="67"/>
      <c r="F225" s="98">
        <v>32.450000000000003</v>
      </c>
      <c r="G225" s="98"/>
      <c r="H225" s="229">
        <f>F225</f>
        <v>32.450000000000003</v>
      </c>
      <c r="I225"/>
      <c r="J225"/>
      <c r="K225"/>
      <c r="L225"/>
      <c r="M225"/>
    </row>
    <row r="226" spans="1:13" ht="14.25" customHeight="1" x14ac:dyDescent="0.25">
      <c r="A226"/>
      <c r="B226"/>
      <c r="C226" s="66"/>
      <c r="D226" s="67"/>
      <c r="E226" s="67"/>
      <c r="F226" s="73"/>
      <c r="G226" s="74"/>
      <c r="H226" s="96"/>
      <c r="I226"/>
      <c r="J226"/>
      <c r="K226"/>
      <c r="L226"/>
      <c r="M226"/>
    </row>
    <row r="227" spans="1:13" ht="37.5" customHeight="1" x14ac:dyDescent="0.25">
      <c r="A227"/>
      <c r="B227"/>
      <c r="C227" s="66"/>
      <c r="D227" s="67"/>
      <c r="E227" s="67"/>
      <c r="F227" s="73"/>
      <c r="G227" s="74"/>
      <c r="H227" s="96"/>
      <c r="I227"/>
      <c r="J227"/>
      <c r="K227"/>
      <c r="L227"/>
      <c r="M227"/>
    </row>
    <row r="228" spans="1:13" ht="14.25" hidden="1" customHeight="1" x14ac:dyDescent="0.25">
      <c r="A228" s="80" t="s">
        <v>631</v>
      </c>
      <c r="B228" s="81"/>
      <c r="C228" s="82" t="str">
        <f>VLOOKUP(A228,'[2]Orçamento Sintético'!A:J,4,0)</f>
        <v>ARMAÇÃO DE ESTRUTURAS DIVERSAS DE CONCRETO ARMADO, EXCETO VIGAS, PILARES, LAJES E FUNDAÇÕES, UTILIZANDO AÇO CA-50 DE 10,0 MM - MONTAGEM. AF_06/2022</v>
      </c>
      <c r="D228" s="81"/>
      <c r="E228" s="81" t="str">
        <f>VLOOKUP(A228,'[2]Orçamento Sintético'!A:J,5,0)</f>
        <v>KG</v>
      </c>
      <c r="F228" s="462" t="s">
        <v>611</v>
      </c>
      <c r="G228" s="462"/>
      <c r="H228" s="85">
        <f>H234</f>
        <v>312.26</v>
      </c>
      <c r="I228" s="216"/>
      <c r="J228"/>
      <c r="K228"/>
      <c r="L228"/>
      <c r="M228"/>
    </row>
    <row r="229" spans="1:13" ht="14.25" hidden="1" customHeight="1" x14ac:dyDescent="0.25">
      <c r="A229" s="65"/>
      <c r="B229" s="65"/>
      <c r="C229" s="66"/>
      <c r="D229" s="67"/>
      <c r="E229" s="67"/>
      <c r="F229" s="463" t="s">
        <v>578</v>
      </c>
      <c r="G229" s="464"/>
      <c r="H229" s="68"/>
      <c r="I229"/>
      <c r="J229"/>
      <c r="K229"/>
      <c r="L229"/>
      <c r="M229"/>
    </row>
    <row r="230" spans="1:13" ht="14.25" hidden="1" customHeight="1" x14ac:dyDescent="0.25">
      <c r="A230" s="65"/>
      <c r="B230" s="65"/>
      <c r="C230" s="66"/>
      <c r="D230" s="67"/>
      <c r="E230" s="67"/>
      <c r="F230" s="456" t="s">
        <v>579</v>
      </c>
      <c r="G230" s="456"/>
      <c r="H230" s="68">
        <f>VLOOKUP(A228,'[2]Orçamento Sintético'!A:J,6,0)</f>
        <v>312.26</v>
      </c>
      <c r="I230"/>
      <c r="J230"/>
      <c r="K230"/>
      <c r="L230"/>
      <c r="M230"/>
    </row>
    <row r="231" spans="1:13" ht="14.25" hidden="1" customHeight="1" x14ac:dyDescent="0.25">
      <c r="A231" s="65"/>
      <c r="B231" s="65"/>
      <c r="C231" s="66"/>
      <c r="D231" s="67"/>
      <c r="E231" s="67"/>
      <c r="F231" s="456" t="s">
        <v>596</v>
      </c>
      <c r="G231" s="456"/>
      <c r="H231" s="69">
        <f>SUM(H234:H238)</f>
        <v>312.26</v>
      </c>
      <c r="I231"/>
      <c r="J231"/>
      <c r="K231"/>
      <c r="L231"/>
      <c r="M231"/>
    </row>
    <row r="232" spans="1:13" ht="14.25" hidden="1" customHeight="1" x14ac:dyDescent="0.25">
      <c r="A232" s="65"/>
      <c r="B232" s="65"/>
      <c r="C232" s="66"/>
      <c r="D232" s="67"/>
      <c r="E232" s="67"/>
      <c r="F232" s="457" t="s">
        <v>580</v>
      </c>
      <c r="G232" s="457"/>
      <c r="H232" s="69">
        <f>H230-H231</f>
        <v>0</v>
      </c>
      <c r="I232"/>
      <c r="J232"/>
      <c r="K232"/>
      <c r="L232"/>
      <c r="M232">
        <v>699.28</v>
      </c>
    </row>
    <row r="233" spans="1:13" ht="15" hidden="1" customHeight="1" x14ac:dyDescent="0.25">
      <c r="A233" s="65"/>
      <c r="B233" s="65"/>
      <c r="C233" s="66"/>
      <c r="D233" s="70" t="s">
        <v>971</v>
      </c>
      <c r="E233" s="70" t="s">
        <v>974</v>
      </c>
      <c r="F233" s="70" t="s">
        <v>975</v>
      </c>
      <c r="G233" s="71" t="s">
        <v>584</v>
      </c>
      <c r="H233" s="75"/>
      <c r="I233"/>
      <c r="J233"/>
      <c r="K233"/>
      <c r="L233"/>
      <c r="M233">
        <v>191.85</v>
      </c>
    </row>
    <row r="234" spans="1:13" ht="14.25" hidden="1" customHeight="1" x14ac:dyDescent="0.25">
      <c r="A234" s="65"/>
      <c r="B234" s="72" t="s">
        <v>612</v>
      </c>
      <c r="C234" s="66" t="s">
        <v>963</v>
      </c>
      <c r="D234" s="67"/>
      <c r="E234" s="67"/>
      <c r="F234" s="98">
        <f>263.83+48.43</f>
        <v>312.26</v>
      </c>
      <c r="G234" s="98"/>
      <c r="H234" s="96">
        <f>F234</f>
        <v>312.26</v>
      </c>
      <c r="I234"/>
      <c r="J234"/>
      <c r="K234"/>
      <c r="L234"/>
      <c r="M234"/>
    </row>
    <row r="235" spans="1:13" ht="14.25" hidden="1" customHeight="1" x14ac:dyDescent="0.25">
      <c r="A235" s="65"/>
      <c r="B235" s="72"/>
      <c r="C235" s="66"/>
      <c r="D235" s="67"/>
      <c r="E235" s="67"/>
      <c r="F235" s="98"/>
      <c r="G235" s="98"/>
      <c r="H235" s="96"/>
      <c r="I235"/>
      <c r="J235"/>
      <c r="K235"/>
      <c r="L235"/>
      <c r="M235"/>
    </row>
    <row r="236" spans="1:13" ht="14.25" hidden="1" customHeight="1" x14ac:dyDescent="0.25">
      <c r="A236" s="65"/>
      <c r="B236" s="72"/>
      <c r="C236" s="66"/>
      <c r="D236" s="67"/>
      <c r="E236" s="67"/>
      <c r="F236" s="98"/>
      <c r="G236" s="98"/>
      <c r="H236" s="96"/>
      <c r="I236"/>
      <c r="J236"/>
      <c r="K236"/>
      <c r="L236"/>
      <c r="M236"/>
    </row>
    <row r="237" spans="1:13" ht="14.25" hidden="1" customHeight="1" x14ac:dyDescent="0.25">
      <c r="A237" s="65"/>
      <c r="B237" s="72"/>
      <c r="C237" s="66"/>
      <c r="D237" s="67"/>
      <c r="E237" s="67"/>
      <c r="F237" s="73"/>
      <c r="G237" s="98"/>
      <c r="H237" s="96"/>
      <c r="I237"/>
      <c r="J237"/>
      <c r="K237"/>
      <c r="L237"/>
      <c r="M237"/>
    </row>
    <row r="238" spans="1:13" ht="14.25" hidden="1" customHeight="1" x14ac:dyDescent="0.25">
      <c r="A238" s="65"/>
      <c r="B238" s="72"/>
      <c r="C238" s="66"/>
      <c r="D238" s="67"/>
      <c r="E238" s="67"/>
      <c r="F238" s="73"/>
      <c r="G238" s="98"/>
      <c r="H238" s="96"/>
      <c r="I238"/>
      <c r="J238"/>
      <c r="K238"/>
      <c r="L238"/>
      <c r="M238"/>
    </row>
    <row r="239" spans="1:13" ht="37.5" customHeight="1" x14ac:dyDescent="0.25">
      <c r="A239"/>
      <c r="B239"/>
      <c r="C239"/>
      <c r="D239"/>
      <c r="E239"/>
      <c r="F239"/>
      <c r="G239"/>
      <c r="H239"/>
      <c r="I239"/>
      <c r="J239"/>
      <c r="K239"/>
      <c r="L239"/>
      <c r="M239"/>
    </row>
    <row r="240" spans="1:13" ht="14.25" hidden="1" customHeight="1" x14ac:dyDescent="0.25">
      <c r="A240" s="80" t="s">
        <v>632</v>
      </c>
      <c r="B240" s="81"/>
      <c r="C240" s="82" t="str">
        <f>VLOOKUP(A240,'[2]Orçamento Sintético'!A:J,4,0)</f>
        <v>ARMAÇÃO DE ESTRUTURAS DIVERSAS DE CONCRETO ARMADO, EXCETO VIGAS, PILARES, LAJES E FUNDAÇÕES, UTILIZANDO AÇO CA-50 DE 12,5 MM - MONTAGEM. AF_06/2022</v>
      </c>
      <c r="D240" s="81"/>
      <c r="E240" s="81" t="str">
        <f>VLOOKUP(A240,'[2]Orçamento Sintético'!A:J,5,0)</f>
        <v>KG</v>
      </c>
      <c r="F240" s="462" t="s">
        <v>1084</v>
      </c>
      <c r="G240" s="462"/>
      <c r="H240" s="85">
        <f>SUM(H246:H247)</f>
        <v>32.636809999999997</v>
      </c>
      <c r="I240" s="216"/>
      <c r="J240"/>
      <c r="K240"/>
      <c r="L240"/>
      <c r="M240"/>
    </row>
    <row r="241" spans="1:13" ht="14.25" hidden="1" customHeight="1" x14ac:dyDescent="0.25">
      <c r="A241" s="65"/>
      <c r="B241" s="65"/>
      <c r="C241" s="66"/>
      <c r="D241" s="67"/>
      <c r="E241" s="67"/>
      <c r="F241" s="463" t="s">
        <v>578</v>
      </c>
      <c r="G241" s="464"/>
      <c r="H241" s="68"/>
      <c r="I241"/>
      <c r="J241"/>
      <c r="K241"/>
      <c r="L241"/>
      <c r="M241"/>
    </row>
    <row r="242" spans="1:13" ht="14.25" hidden="1" customHeight="1" x14ac:dyDescent="0.25">
      <c r="A242" s="65"/>
      <c r="B242" s="65"/>
      <c r="C242" s="66"/>
      <c r="D242" s="67"/>
      <c r="E242" s="67"/>
      <c r="F242" s="456" t="s">
        <v>579</v>
      </c>
      <c r="G242" s="456"/>
      <c r="H242" s="68">
        <f>VLOOKUP(A240,'[2]Orçamento Sintético'!A:J,6,0)</f>
        <v>32.64</v>
      </c>
      <c r="I242"/>
      <c r="J242"/>
      <c r="K242"/>
      <c r="L242"/>
      <c r="M242"/>
    </row>
    <row r="243" spans="1:13" ht="14.25" hidden="1" customHeight="1" x14ac:dyDescent="0.25">
      <c r="A243" s="65"/>
      <c r="B243" s="65"/>
      <c r="C243" s="66"/>
      <c r="D243" s="67"/>
      <c r="E243" s="67"/>
      <c r="F243" s="456" t="s">
        <v>596</v>
      </c>
      <c r="G243" s="456"/>
      <c r="H243" s="69">
        <f>SUM(H246)</f>
        <v>32.636809999999997</v>
      </c>
      <c r="I243"/>
      <c r="J243"/>
      <c r="K243"/>
      <c r="L243"/>
      <c r="M243"/>
    </row>
    <row r="244" spans="1:13" ht="14.25" hidden="1" customHeight="1" x14ac:dyDescent="0.25">
      <c r="A244" s="65"/>
      <c r="B244" s="65"/>
      <c r="C244" s="66"/>
      <c r="D244" s="67"/>
      <c r="E244" s="67"/>
      <c r="F244" s="457" t="s">
        <v>580</v>
      </c>
      <c r="G244" s="457"/>
      <c r="H244" s="263">
        <f>H242-H243</f>
        <v>3.1900000000035789E-3</v>
      </c>
      <c r="I244"/>
      <c r="J244"/>
      <c r="K244"/>
      <c r="L244"/>
      <c r="M244"/>
    </row>
    <row r="245" spans="1:13" ht="14.25" hidden="1" customHeight="1" x14ac:dyDescent="0.25">
      <c r="A245" s="65"/>
      <c r="B245" s="65"/>
      <c r="C245" s="66"/>
      <c r="D245" s="241" t="s">
        <v>1008</v>
      </c>
      <c r="E245" s="241" t="s">
        <v>1009</v>
      </c>
      <c r="F245" s="241" t="s">
        <v>1010</v>
      </c>
      <c r="G245" s="241" t="s">
        <v>1011</v>
      </c>
      <c r="H245" s="75"/>
      <c r="I245"/>
      <c r="J245"/>
      <c r="K245"/>
      <c r="L245"/>
      <c r="M245"/>
    </row>
    <row r="246" spans="1:13" ht="14.25" hidden="1" customHeight="1" x14ac:dyDescent="0.25">
      <c r="A246" s="65"/>
      <c r="B246" s="239" t="s">
        <v>980</v>
      </c>
      <c r="C246" s="66" t="s">
        <v>1007</v>
      </c>
      <c r="D246">
        <v>2.258</v>
      </c>
      <c r="E246">
        <v>6</v>
      </c>
      <c r="F246">
        <v>0.96299999999999997</v>
      </c>
      <c r="G246">
        <v>2.5</v>
      </c>
      <c r="H246" s="229">
        <f>G246*F246*E246*D246+0.02</f>
        <v>32.636809999999997</v>
      </c>
      <c r="I246"/>
      <c r="J246"/>
      <c r="K246"/>
      <c r="L246"/>
      <c r="M246"/>
    </row>
    <row r="247" spans="1:13" ht="14.25" hidden="1" customHeight="1" x14ac:dyDescent="0.25">
      <c r="A247"/>
      <c r="B247"/>
      <c r="C247" s="66"/>
      <c r="D247"/>
      <c r="E247"/>
      <c r="F247"/>
      <c r="G247" s="99"/>
      <c r="H247"/>
      <c r="I247"/>
      <c r="J247"/>
      <c r="K247"/>
      <c r="L247"/>
      <c r="M247"/>
    </row>
    <row r="248" spans="1:13" ht="14.25" hidden="1" customHeight="1" x14ac:dyDescent="0.25">
      <c r="A248"/>
      <c r="B248"/>
      <c r="C248" s="66"/>
      <c r="D248"/>
      <c r="E248"/>
      <c r="F248"/>
      <c r="G248" s="99"/>
      <c r="H248"/>
      <c r="I248"/>
      <c r="J248"/>
      <c r="K248"/>
      <c r="L248"/>
      <c r="M248"/>
    </row>
    <row r="249" spans="1:13" ht="15" hidden="1" customHeight="1" x14ac:dyDescent="0.25">
      <c r="A249"/>
      <c r="B249"/>
      <c r="C249"/>
      <c r="D249"/>
      <c r="E249"/>
      <c r="F249"/>
      <c r="G249"/>
      <c r="H249"/>
      <c r="I249"/>
      <c r="J249"/>
      <c r="K249"/>
      <c r="L249"/>
      <c r="M249"/>
    </row>
    <row r="250" spans="1:13" ht="14.25" hidden="1" customHeight="1" x14ac:dyDescent="0.25">
      <c r="A250" s="80" t="s">
        <v>633</v>
      </c>
      <c r="B250" s="81"/>
      <c r="C250" s="82" t="str">
        <f>VLOOKUP(A250,'[2]Orçamento Sintético'!A:J,4,0)</f>
        <v>ARMAÇÃO DE ESTRUTURAS DIVERSAS DE CONCRETO ARMADO, EXCETO VIGAS, PILARES, LAJES E FUNDAÇÕES, UTILIZANDO AÇO CA-60 DE 5,0 MM - MONTAGEM. AF_06/2022</v>
      </c>
      <c r="D250" s="81"/>
      <c r="E250" s="81" t="str">
        <f>VLOOKUP(A250,'[2]Orçamento Sintético'!A:J,5,0)</f>
        <v>KG</v>
      </c>
      <c r="F250" s="462" t="s">
        <v>1084</v>
      </c>
      <c r="G250" s="462"/>
      <c r="H250" s="85">
        <f>H270</f>
        <v>0</v>
      </c>
      <c r="I250" s="216"/>
      <c r="J250"/>
      <c r="K250"/>
      <c r="L250"/>
      <c r="M250"/>
    </row>
    <row r="251" spans="1:13" ht="28.5" hidden="1" customHeight="1" x14ac:dyDescent="0.25">
      <c r="A251" s="65"/>
      <c r="B251" s="65"/>
      <c r="C251" s="66"/>
      <c r="D251" s="67"/>
      <c r="E251" s="67"/>
      <c r="F251" s="463" t="s">
        <v>578</v>
      </c>
      <c r="G251" s="464"/>
      <c r="H251" s="377">
        <f>H256+H257+H260+H261+H262+H263+H264+H265+H266+H267+H268+H269</f>
        <v>265.07911999999999</v>
      </c>
      <c r="I251"/>
      <c r="J251"/>
      <c r="K251"/>
      <c r="L251"/>
      <c r="M251"/>
    </row>
    <row r="252" spans="1:13" ht="28.5" hidden="1" customHeight="1" x14ac:dyDescent="0.25">
      <c r="A252" s="65"/>
      <c r="B252" s="65"/>
      <c r="C252" s="66"/>
      <c r="D252" s="67"/>
      <c r="E252" s="67"/>
      <c r="F252" s="456" t="s">
        <v>579</v>
      </c>
      <c r="G252" s="456"/>
      <c r="H252" s="377">
        <f>VLOOKUP(A250,'[2]Orçamento Sintético'!A:J,6,0)</f>
        <v>307.55</v>
      </c>
      <c r="I252"/>
      <c r="J252"/>
      <c r="K252"/>
      <c r="L252"/>
      <c r="M252"/>
    </row>
    <row r="253" spans="1:13" ht="14.25" hidden="1" customHeight="1" x14ac:dyDescent="0.25">
      <c r="A253" s="65"/>
      <c r="B253" s="65"/>
      <c r="C253" s="66"/>
      <c r="D253" s="67"/>
      <c r="E253" s="67"/>
      <c r="F253" s="456" t="s">
        <v>596</v>
      </c>
      <c r="G253" s="456"/>
      <c r="H253" s="264">
        <f>H270</f>
        <v>0</v>
      </c>
      <c r="I253"/>
      <c r="J253"/>
      <c r="K253"/>
      <c r="L253"/>
      <c r="M253"/>
    </row>
    <row r="254" spans="1:13" ht="14.25" hidden="1" customHeight="1" x14ac:dyDescent="0.25">
      <c r="A254" s="65"/>
      <c r="B254" s="65"/>
      <c r="C254" s="66"/>
      <c r="D254" s="67"/>
      <c r="E254" s="67"/>
      <c r="F254" s="457" t="s">
        <v>580</v>
      </c>
      <c r="G254" s="457"/>
      <c r="H254" s="264">
        <f>H252-(H251+H253)</f>
        <v>42.470880000000022</v>
      </c>
      <c r="I254"/>
      <c r="J254"/>
      <c r="K254"/>
      <c r="L254"/>
      <c r="M254"/>
    </row>
    <row r="255" spans="1:13" ht="14.25" hidden="1" customHeight="1" x14ac:dyDescent="0.25">
      <c r="A255" s="65"/>
      <c r="B255" s="65"/>
      <c r="C255" s="66"/>
      <c r="D255" s="241" t="s">
        <v>1008</v>
      </c>
      <c r="E255" s="241" t="s">
        <v>1009</v>
      </c>
      <c r="F255" s="241" t="s">
        <v>1010</v>
      </c>
      <c r="G255" s="241" t="s">
        <v>1011</v>
      </c>
      <c r="H255" s="378"/>
      <c r="I255"/>
      <c r="J255"/>
      <c r="K255"/>
      <c r="L255"/>
      <c r="M255"/>
    </row>
    <row r="256" spans="1:13" ht="14.25" hidden="1" customHeight="1" x14ac:dyDescent="0.25">
      <c r="A256" s="65"/>
      <c r="B256" s="72" t="s">
        <v>612</v>
      </c>
      <c r="C256" s="66" t="s">
        <v>951</v>
      </c>
      <c r="D256" s="67"/>
      <c r="E256" s="67"/>
      <c r="F256" s="73">
        <v>96.38</v>
      </c>
      <c r="G256" s="98"/>
      <c r="H256" s="229">
        <f>F256</f>
        <v>96.38</v>
      </c>
      <c r="I256"/>
      <c r="J256"/>
      <c r="K256"/>
      <c r="L256"/>
      <c r="M256"/>
    </row>
    <row r="257" spans="1:13" ht="14.25" hidden="1" customHeight="1" x14ac:dyDescent="0.25">
      <c r="A257"/>
      <c r="B257"/>
      <c r="C257" s="66" t="s">
        <v>952</v>
      </c>
      <c r="D257"/>
      <c r="E257"/>
      <c r="F257">
        <v>22.51</v>
      </c>
      <c r="G257" s="99"/>
      <c r="H257" s="229">
        <f t="shared" ref="H257:H259" si="5">F257</f>
        <v>22.51</v>
      </c>
      <c r="I257"/>
      <c r="J257"/>
      <c r="K257"/>
      <c r="L257"/>
      <c r="M257"/>
    </row>
    <row r="258" spans="1:13" ht="14.25" hidden="1" customHeight="1" x14ac:dyDescent="0.25">
      <c r="A258"/>
      <c r="B258"/>
      <c r="C258" s="66"/>
      <c r="D258"/>
      <c r="E258"/>
      <c r="F258"/>
      <c r="G258" s="99"/>
      <c r="H258" s="229">
        <f t="shared" si="5"/>
        <v>0</v>
      </c>
      <c r="I258"/>
      <c r="J258"/>
      <c r="K258"/>
      <c r="L258"/>
      <c r="M258"/>
    </row>
    <row r="259" spans="1:13" ht="14.25" hidden="1" customHeight="1" x14ac:dyDescent="0.25">
      <c r="A259"/>
      <c r="B259"/>
      <c r="C259" s="66"/>
      <c r="D259"/>
      <c r="E259"/>
      <c r="F259"/>
      <c r="G259" s="99"/>
      <c r="H259" s="229">
        <f t="shared" si="5"/>
        <v>0</v>
      </c>
      <c r="I259"/>
      <c r="J259"/>
      <c r="K259"/>
      <c r="L259"/>
      <c r="M259"/>
    </row>
    <row r="260" spans="1:13" ht="14.25" hidden="1" customHeight="1" x14ac:dyDescent="0.25">
      <c r="A260"/>
      <c r="B260" s="506" t="s">
        <v>980</v>
      </c>
      <c r="C260" s="242" t="s">
        <v>1012</v>
      </c>
      <c r="D260">
        <v>1.02</v>
      </c>
      <c r="E260">
        <v>15</v>
      </c>
      <c r="F260">
        <v>0.154</v>
      </c>
      <c r="G260" s="99">
        <v>18</v>
      </c>
      <c r="H260" s="229">
        <f>G260*F260*E260*D260</f>
        <v>42.4116</v>
      </c>
      <c r="I260"/>
      <c r="J260"/>
      <c r="K260"/>
      <c r="L260"/>
      <c r="M260"/>
    </row>
    <row r="261" spans="1:13" ht="37.5" hidden="1" customHeight="1" x14ac:dyDescent="0.25">
      <c r="A261"/>
      <c r="B261" s="506"/>
      <c r="C261" s="242" t="s">
        <v>1020</v>
      </c>
      <c r="D261">
        <v>0.26</v>
      </c>
      <c r="E261">
        <v>15</v>
      </c>
      <c r="F261">
        <v>0.154</v>
      </c>
      <c r="G261" s="99">
        <v>18</v>
      </c>
      <c r="H261" s="229">
        <f t="shared" ref="H261:H269" si="6">G261*F261*E261*D261</f>
        <v>10.8108</v>
      </c>
      <c r="I261"/>
      <c r="J261"/>
      <c r="K261"/>
      <c r="L261"/>
      <c r="M261"/>
    </row>
    <row r="262" spans="1:13" ht="14.25" hidden="1" customHeight="1" x14ac:dyDescent="0.25">
      <c r="A262"/>
      <c r="B262" s="506"/>
      <c r="C262" s="242" t="s">
        <v>1017</v>
      </c>
      <c r="D262">
        <v>1.02</v>
      </c>
      <c r="E262">
        <v>8</v>
      </c>
      <c r="F262">
        <v>0.154</v>
      </c>
      <c r="G262" s="99">
        <v>20</v>
      </c>
      <c r="H262" s="229">
        <f t="shared" si="6"/>
        <v>25.1328</v>
      </c>
      <c r="I262"/>
      <c r="J262"/>
      <c r="K262"/>
      <c r="L262"/>
      <c r="M262"/>
    </row>
    <row r="263" spans="1:13" ht="14.25" hidden="1" customHeight="1" x14ac:dyDescent="0.25">
      <c r="A263"/>
      <c r="B263" s="506"/>
      <c r="C263" s="242" t="s">
        <v>1021</v>
      </c>
      <c r="D263">
        <v>0.26</v>
      </c>
      <c r="E263">
        <v>8</v>
      </c>
      <c r="F263">
        <v>0.154</v>
      </c>
      <c r="G263" s="99">
        <v>20</v>
      </c>
      <c r="H263" s="229">
        <f t="shared" si="6"/>
        <v>6.4064000000000005</v>
      </c>
      <c r="I263"/>
      <c r="J263"/>
      <c r="K263"/>
      <c r="L263"/>
      <c r="M263"/>
    </row>
    <row r="264" spans="1:13" ht="14.25" hidden="1" customHeight="1" x14ac:dyDescent="0.25">
      <c r="A264"/>
      <c r="B264" s="506"/>
      <c r="C264" s="182" t="s">
        <v>1013</v>
      </c>
      <c r="D264">
        <v>1.02</v>
      </c>
      <c r="E264">
        <v>8</v>
      </c>
      <c r="F264">
        <v>0.154</v>
      </c>
      <c r="G264" s="99">
        <v>14</v>
      </c>
      <c r="H264" s="229">
        <f t="shared" si="6"/>
        <v>17.592960000000001</v>
      </c>
      <c r="I264"/>
      <c r="J264"/>
      <c r="K264"/>
      <c r="L264"/>
      <c r="M264"/>
    </row>
    <row r="265" spans="1:13" ht="14.25" hidden="1" customHeight="1" x14ac:dyDescent="0.25">
      <c r="A265"/>
      <c r="B265" s="506"/>
      <c r="C265" s="182" t="s">
        <v>1018</v>
      </c>
      <c r="D265">
        <v>0.26</v>
      </c>
      <c r="E265">
        <v>8</v>
      </c>
      <c r="F265">
        <v>0.154</v>
      </c>
      <c r="G265" s="99">
        <v>10</v>
      </c>
      <c r="H265" s="229">
        <f t="shared" si="6"/>
        <v>3.2032000000000003</v>
      </c>
      <c r="I265"/>
      <c r="J265"/>
      <c r="K265"/>
      <c r="L265"/>
      <c r="M265"/>
    </row>
    <row r="266" spans="1:13" ht="14.25" hidden="1" customHeight="1" x14ac:dyDescent="0.25">
      <c r="A266"/>
      <c r="B266" s="506"/>
      <c r="C266" s="182" t="s">
        <v>1014</v>
      </c>
      <c r="D266">
        <v>0.95</v>
      </c>
      <c r="E266">
        <v>8</v>
      </c>
      <c r="F266">
        <v>0.154</v>
      </c>
      <c r="G266" s="99">
        <v>16</v>
      </c>
      <c r="H266" s="229">
        <f t="shared" si="6"/>
        <v>18.726399999999998</v>
      </c>
      <c r="I266"/>
      <c r="J266"/>
      <c r="K266"/>
      <c r="L266"/>
      <c r="M266"/>
    </row>
    <row r="267" spans="1:13" ht="14.25" hidden="1" customHeight="1" x14ac:dyDescent="0.25">
      <c r="A267"/>
      <c r="B267" s="506"/>
      <c r="C267" s="182" t="s">
        <v>1019</v>
      </c>
      <c r="D267">
        <v>0.26</v>
      </c>
      <c r="E267">
        <v>8</v>
      </c>
      <c r="F267">
        <v>0.154</v>
      </c>
      <c r="G267" s="99">
        <v>3</v>
      </c>
      <c r="H267" s="229">
        <f t="shared" si="6"/>
        <v>0.96095999999999993</v>
      </c>
      <c r="I267"/>
      <c r="J267"/>
      <c r="K267"/>
      <c r="L267"/>
      <c r="M267"/>
    </row>
    <row r="268" spans="1:13" ht="14.25" hidden="1" customHeight="1" x14ac:dyDescent="0.25">
      <c r="A268"/>
      <c r="B268" s="506"/>
      <c r="C268" s="182" t="s">
        <v>1015</v>
      </c>
      <c r="D268">
        <v>0.85</v>
      </c>
      <c r="E268">
        <v>8</v>
      </c>
      <c r="F268">
        <v>0.154</v>
      </c>
      <c r="G268" s="99">
        <f>4*3</f>
        <v>12</v>
      </c>
      <c r="H268" s="229">
        <f t="shared" si="6"/>
        <v>12.566399999999998</v>
      </c>
      <c r="I268"/>
      <c r="J268"/>
      <c r="K268"/>
      <c r="L268"/>
      <c r="M268"/>
    </row>
    <row r="269" spans="1:13" ht="14.25" hidden="1" customHeight="1" x14ac:dyDescent="0.25">
      <c r="A269"/>
      <c r="B269" s="506"/>
      <c r="C269" s="182" t="s">
        <v>1016</v>
      </c>
      <c r="D269">
        <v>0.85</v>
      </c>
      <c r="E269">
        <v>8</v>
      </c>
      <c r="F269">
        <v>0.154</v>
      </c>
      <c r="G269" s="99">
        <v>8</v>
      </c>
      <c r="H269" s="229">
        <f t="shared" si="6"/>
        <v>8.3775999999999993</v>
      </c>
      <c r="I269"/>
      <c r="J269"/>
      <c r="K269"/>
      <c r="L269"/>
      <c r="M269"/>
    </row>
    <row r="270" spans="1:13" ht="15" hidden="1" customHeight="1" x14ac:dyDescent="0.25">
      <c r="A270"/>
      <c r="B270" s="365"/>
      <c r="C270" s="66"/>
      <c r="D270"/>
      <c r="E270"/>
      <c r="F270"/>
      <c r="G270" s="99"/>
      <c r="H270" s="229"/>
      <c r="I270"/>
      <c r="J270"/>
      <c r="K270"/>
      <c r="L270"/>
      <c r="M270"/>
    </row>
    <row r="271" spans="1:13" ht="14.25" customHeight="1" x14ac:dyDescent="0.25">
      <c r="A271"/>
      <c r="B271"/>
      <c r="C271"/>
      <c r="D271"/>
      <c r="E271"/>
      <c r="F271"/>
      <c r="G271"/>
      <c r="H271"/>
      <c r="I271"/>
      <c r="J271"/>
      <c r="K271"/>
      <c r="L271"/>
      <c r="M271"/>
    </row>
    <row r="272" spans="1:13" ht="14.25" hidden="1" customHeight="1" x14ac:dyDescent="0.25">
      <c r="A272" s="80" t="s">
        <v>634</v>
      </c>
      <c r="B272" s="81"/>
      <c r="C272" s="82" t="str">
        <f>VLOOKUP(A272,'[2]Orçamento Sintético'!A:J,4,0)</f>
        <v>CONCRETAGEM DE SAPATAS, FCK 30 MPA, COM USO DE BOMBA  LANÇAMENTO, ADENSAMENTO E ACABAMENTO. AF_11/2016</v>
      </c>
      <c r="D272" s="81"/>
      <c r="E272" s="81" t="str">
        <f>VLOOKUP(A272,'[2]Orçamento Sintético'!A:J,5,0)</f>
        <v>m³</v>
      </c>
      <c r="F272" s="462" t="s">
        <v>1084</v>
      </c>
      <c r="G272" s="462"/>
      <c r="H272" s="85">
        <f>H281</f>
        <v>2.5</v>
      </c>
      <c r="I272" s="216"/>
      <c r="J272"/>
      <c r="K272"/>
      <c r="L272"/>
      <c r="M272"/>
    </row>
    <row r="273" spans="1:13" ht="14.25" hidden="1" customHeight="1" x14ac:dyDescent="0.25">
      <c r="A273" s="65"/>
      <c r="B273" s="65"/>
      <c r="C273" s="66"/>
      <c r="D273" s="67"/>
      <c r="E273" s="67"/>
      <c r="F273" s="463" t="s">
        <v>578</v>
      </c>
      <c r="G273" s="464"/>
      <c r="H273" s="68"/>
      <c r="I273"/>
      <c r="J273"/>
      <c r="K273"/>
      <c r="L273"/>
      <c r="M273"/>
    </row>
    <row r="274" spans="1:13" ht="14.25" hidden="1" customHeight="1" x14ac:dyDescent="0.25">
      <c r="A274" s="65"/>
      <c r="B274" s="65"/>
      <c r="C274" s="66"/>
      <c r="D274" s="67"/>
      <c r="E274" s="67"/>
      <c r="F274" s="456" t="s">
        <v>579</v>
      </c>
      <c r="G274" s="456"/>
      <c r="H274" s="68">
        <f>VLOOKUP(A272,'[2]Orçamento Sintético'!A:J,6,0)</f>
        <v>16.12</v>
      </c>
      <c r="I274"/>
      <c r="J274"/>
      <c r="K274"/>
      <c r="L274"/>
      <c r="M274"/>
    </row>
    <row r="275" spans="1:13" ht="14.25" hidden="1" customHeight="1" x14ac:dyDescent="0.25">
      <c r="A275" s="65"/>
      <c r="B275" s="65"/>
      <c r="C275" s="66"/>
      <c r="D275" s="67"/>
      <c r="E275" s="67"/>
      <c r="F275" s="456" t="s">
        <v>596</v>
      </c>
      <c r="G275" s="456"/>
      <c r="H275" s="69">
        <f>SUM(H278:H281)</f>
        <v>16.119999999999997</v>
      </c>
      <c r="I275"/>
      <c r="J275"/>
      <c r="K275"/>
      <c r="L275"/>
      <c r="M275"/>
    </row>
    <row r="276" spans="1:13" ht="37.5" hidden="1" customHeight="1" x14ac:dyDescent="0.25">
      <c r="A276" s="65"/>
      <c r="B276" s="65"/>
      <c r="C276" s="66"/>
      <c r="D276" s="67"/>
      <c r="E276" s="67"/>
      <c r="F276" s="457" t="s">
        <v>580</v>
      </c>
      <c r="G276" s="457"/>
      <c r="H276" s="69">
        <f>H274-H275</f>
        <v>0</v>
      </c>
      <c r="I276"/>
      <c r="J276"/>
      <c r="K276"/>
      <c r="L276"/>
      <c r="M276"/>
    </row>
    <row r="277" spans="1:13" ht="14.25" hidden="1" customHeight="1" x14ac:dyDescent="0.25">
      <c r="A277" s="65"/>
      <c r="B277" s="65"/>
      <c r="C277" s="66"/>
      <c r="D277" s="70" t="s">
        <v>971</v>
      </c>
      <c r="E277" s="70" t="s">
        <v>972</v>
      </c>
      <c r="F277" s="70" t="s">
        <v>973</v>
      </c>
      <c r="G277" s="71" t="s">
        <v>584</v>
      </c>
      <c r="H277" s="75"/>
      <c r="I277"/>
      <c r="J277"/>
      <c r="K277"/>
      <c r="L277"/>
      <c r="M277"/>
    </row>
    <row r="278" spans="1:13" ht="14.25" hidden="1" customHeight="1" x14ac:dyDescent="0.25">
      <c r="A278" s="65"/>
      <c r="B278" s="72" t="s">
        <v>612</v>
      </c>
      <c r="C278" s="66" t="s">
        <v>953</v>
      </c>
      <c r="D278" s="67"/>
      <c r="E278" s="67"/>
      <c r="F278" s="73">
        <v>10.59</v>
      </c>
      <c r="G278" s="98"/>
      <c r="H278" s="96">
        <f>F278</f>
        <v>10.59</v>
      </c>
      <c r="I278"/>
      <c r="J278"/>
      <c r="K278"/>
      <c r="L278"/>
      <c r="M278"/>
    </row>
    <row r="279" spans="1:13" ht="14.25" hidden="1" customHeight="1" x14ac:dyDescent="0.25">
      <c r="A279"/>
      <c r="B279"/>
      <c r="C279" s="66" t="s">
        <v>954</v>
      </c>
      <c r="D279"/>
      <c r="E279"/>
      <c r="F279">
        <v>3.03</v>
      </c>
      <c r="G279" s="99"/>
      <c r="H279" s="96">
        <f t="shared" ref="H279:H280" si="7">F279</f>
        <v>3.03</v>
      </c>
      <c r="I279"/>
      <c r="J279"/>
      <c r="K279"/>
      <c r="L279"/>
      <c r="M279"/>
    </row>
    <row r="280" spans="1:13" ht="14.25" hidden="1" customHeight="1" x14ac:dyDescent="0.25">
      <c r="A280"/>
      <c r="B280"/>
      <c r="C280"/>
      <c r="D280"/>
      <c r="E280"/>
      <c r="F280"/>
      <c r="G280"/>
      <c r="H280" s="96">
        <f t="shared" si="7"/>
        <v>0</v>
      </c>
      <c r="I280"/>
      <c r="J280"/>
      <c r="K280"/>
      <c r="L280"/>
      <c r="M280"/>
    </row>
    <row r="281" spans="1:13" ht="14.25" hidden="1" customHeight="1" x14ac:dyDescent="0.25">
      <c r="A281"/>
      <c r="B281" s="239" t="s">
        <v>980</v>
      </c>
      <c r="C281" s="182" t="s">
        <v>968</v>
      </c>
      <c r="D281"/>
      <c r="E281"/>
      <c r="F281">
        <v>2.5</v>
      </c>
      <c r="G281"/>
      <c r="H281" s="217">
        <f>F281</f>
        <v>2.5</v>
      </c>
      <c r="I281"/>
      <c r="J281"/>
      <c r="K281"/>
      <c r="L281"/>
      <c r="M281"/>
    </row>
    <row r="282" spans="1:13" ht="14.25" hidden="1" customHeight="1" x14ac:dyDescent="0.25">
      <c r="A282"/>
      <c r="B282" s="507" t="s">
        <v>1025</v>
      </c>
      <c r="C282" s="243" t="s">
        <v>1022</v>
      </c>
      <c r="D282"/>
      <c r="E282"/>
      <c r="F282"/>
      <c r="G282"/>
      <c r="H282"/>
      <c r="I282"/>
      <c r="J282"/>
      <c r="K282"/>
      <c r="L282"/>
      <c r="M282"/>
    </row>
    <row r="283" spans="1:13" ht="14.25" hidden="1" customHeight="1" x14ac:dyDescent="0.25">
      <c r="A283"/>
      <c r="B283" s="508"/>
      <c r="C283" s="243" t="s">
        <v>1023</v>
      </c>
      <c r="D283"/>
      <c r="E283"/>
      <c r="F283"/>
      <c r="G283"/>
      <c r="H283"/>
      <c r="I283"/>
      <c r="J283"/>
      <c r="K283"/>
      <c r="L283"/>
      <c r="M283"/>
    </row>
    <row r="284" spans="1:13" ht="14.25" hidden="1" customHeight="1" x14ac:dyDescent="0.25">
      <c r="A284"/>
      <c r="B284" s="508"/>
      <c r="C284" s="243" t="s">
        <v>1024</v>
      </c>
      <c r="D284"/>
      <c r="E284"/>
      <c r="F284"/>
      <c r="G284"/>
      <c r="H284"/>
      <c r="I284"/>
      <c r="J284"/>
      <c r="K284"/>
      <c r="L284"/>
      <c r="M284"/>
    </row>
    <row r="285" spans="1:13" ht="15" hidden="1" customHeight="1" x14ac:dyDescent="0.25">
      <c r="A285"/>
      <c r="B285" s="508"/>
      <c r="C285" s="244" t="s">
        <v>986</v>
      </c>
      <c r="D285"/>
      <c r="E285"/>
      <c r="F285"/>
      <c r="G285"/>
      <c r="H285"/>
      <c r="I285"/>
      <c r="J285"/>
      <c r="K285"/>
      <c r="L285"/>
      <c r="M285"/>
    </row>
    <row r="286" spans="1:13" ht="15" hidden="1" customHeight="1" x14ac:dyDescent="0.25">
      <c r="A286"/>
      <c r="B286"/>
      <c r="C286"/>
      <c r="D286"/>
      <c r="E286"/>
      <c r="F286"/>
      <c r="G286" s="221" t="s">
        <v>969</v>
      </c>
      <c r="H286" s="220">
        <f>-H276</f>
        <v>0</v>
      </c>
      <c r="I286"/>
      <c r="J286"/>
      <c r="K286"/>
      <c r="L286"/>
      <c r="M286"/>
    </row>
    <row r="287" spans="1:13" ht="15" hidden="1" customHeight="1" x14ac:dyDescent="0.25">
      <c r="A287" s="80" t="s">
        <v>635</v>
      </c>
      <c r="B287" s="81"/>
      <c r="C287" s="82" t="str">
        <f>VLOOKUP(A287,'[2]Orçamento Sintético'!A:J,4,0)</f>
        <v>FABRICAÇÃO, MONTAGEM E DESMONTAGEM DE FÔRMA PARA VIGA BALDRAME, EM MADEIRA SERRADA, E=25 MM, 4 UTILIZAÇÕES. AF_06/2017</v>
      </c>
      <c r="D287" s="81"/>
      <c r="E287" s="81" t="str">
        <f>VLOOKUP(A287,'[2]Orçamento Sintético'!A:J,5,0)</f>
        <v>m²</v>
      </c>
      <c r="F287" s="462" t="s">
        <v>1084</v>
      </c>
      <c r="G287" s="462"/>
      <c r="H287" s="85">
        <f>SUM(H295:H300)</f>
        <v>405.84</v>
      </c>
      <c r="I287" s="216"/>
      <c r="J287"/>
      <c r="K287"/>
      <c r="L287"/>
      <c r="M287"/>
    </row>
    <row r="288" spans="1:13" ht="15" hidden="1" customHeight="1" x14ac:dyDescent="0.25">
      <c r="A288" s="65"/>
      <c r="B288" s="65"/>
      <c r="C288" s="66"/>
      <c r="D288" s="67"/>
      <c r="E288" s="67"/>
      <c r="F288" s="463" t="s">
        <v>578</v>
      </c>
      <c r="G288" s="464"/>
      <c r="H288" s="68"/>
      <c r="I288"/>
      <c r="J288"/>
      <c r="K288"/>
      <c r="L288"/>
      <c r="M288"/>
    </row>
    <row r="289" spans="1:13" ht="15" hidden="1" customHeight="1" x14ac:dyDescent="0.25">
      <c r="A289" s="65"/>
      <c r="B289" s="65"/>
      <c r="C289" s="66"/>
      <c r="D289" s="67"/>
      <c r="E289" s="67"/>
      <c r="F289" s="456" t="s">
        <v>579</v>
      </c>
      <c r="G289" s="456"/>
      <c r="H289" s="68">
        <f>VLOOKUP(A287,'[2]Orçamento Sintético'!A:J,6,0)</f>
        <v>463.48</v>
      </c>
      <c r="I289"/>
      <c r="J289"/>
      <c r="K289"/>
      <c r="L289"/>
      <c r="M289"/>
    </row>
    <row r="290" spans="1:13" ht="14.25" hidden="1" customHeight="1" x14ac:dyDescent="0.25">
      <c r="A290" s="65"/>
      <c r="B290" s="65"/>
      <c r="C290" s="66"/>
      <c r="D290" s="67"/>
      <c r="E290" s="67"/>
      <c r="F290" s="456" t="s">
        <v>596</v>
      </c>
      <c r="G290" s="456"/>
      <c r="H290" s="69">
        <f>SUM(H293:H300)</f>
        <v>463.47999999999996</v>
      </c>
      <c r="I290"/>
      <c r="J290"/>
      <c r="K290"/>
      <c r="L290"/>
      <c r="M290"/>
    </row>
    <row r="291" spans="1:13" ht="14.25" hidden="1" customHeight="1" x14ac:dyDescent="0.25">
      <c r="A291" s="65"/>
      <c r="B291" s="65"/>
      <c r="C291" s="66"/>
      <c r="D291" s="67"/>
      <c r="E291" s="67"/>
      <c r="F291" s="457" t="s">
        <v>580</v>
      </c>
      <c r="G291" s="457"/>
      <c r="H291" s="69">
        <f>H289-H290</f>
        <v>0</v>
      </c>
      <c r="I291"/>
      <c r="J291"/>
      <c r="K291"/>
      <c r="L291"/>
      <c r="M291"/>
    </row>
    <row r="292" spans="1:13" ht="37.5" hidden="1" customHeight="1" x14ac:dyDescent="0.25">
      <c r="A292" s="65"/>
      <c r="B292" s="65"/>
      <c r="C292" s="66"/>
      <c r="D292" s="70" t="s">
        <v>971</v>
      </c>
      <c r="E292" s="70" t="s">
        <v>972</v>
      </c>
      <c r="F292" s="70" t="s">
        <v>1030</v>
      </c>
      <c r="G292" s="71" t="s">
        <v>584</v>
      </c>
      <c r="H292" s="75"/>
      <c r="I292"/>
      <c r="J292"/>
      <c r="K292"/>
      <c r="L292"/>
      <c r="M292"/>
    </row>
    <row r="293" spans="1:13" ht="14.25" hidden="1" customHeight="1" x14ac:dyDescent="0.25">
      <c r="A293" s="65"/>
      <c r="B293" s="72" t="s">
        <v>612</v>
      </c>
      <c r="C293" s="66" t="s">
        <v>873</v>
      </c>
      <c r="D293" s="67"/>
      <c r="E293" s="67"/>
      <c r="F293" s="73"/>
      <c r="G293" s="98">
        <v>57.64</v>
      </c>
      <c r="H293" s="96">
        <f>G293</f>
        <v>57.64</v>
      </c>
      <c r="I293"/>
      <c r="J293"/>
      <c r="K293"/>
      <c r="L293"/>
      <c r="M293"/>
    </row>
    <row r="294" spans="1:13" ht="14.25" hidden="1" customHeight="1" x14ac:dyDescent="0.25">
      <c r="A294"/>
      <c r="B294"/>
      <c r="C294" s="66"/>
      <c r="D294"/>
      <c r="E294"/>
      <c r="F294"/>
      <c r="G294" s="99"/>
      <c r="H294"/>
      <c r="I294"/>
      <c r="J294"/>
      <c r="K294"/>
      <c r="L294"/>
      <c r="M294"/>
    </row>
    <row r="295" spans="1:13" ht="14.25" hidden="1" customHeight="1" x14ac:dyDescent="0.25">
      <c r="A295"/>
      <c r="B295" s="455" t="s">
        <v>980</v>
      </c>
      <c r="C295" s="66" t="s">
        <v>1078</v>
      </c>
      <c r="D295">
        <v>106.66</v>
      </c>
      <c r="E295">
        <v>0.8</v>
      </c>
      <c r="F295">
        <f>E295*D295*2</f>
        <v>170.65600000000001</v>
      </c>
      <c r="G295" s="99"/>
      <c r="H295">
        <f>F295</f>
        <v>170.65600000000001</v>
      </c>
      <c r="I295"/>
      <c r="J295"/>
      <c r="K295"/>
      <c r="L295"/>
      <c r="M295"/>
    </row>
    <row r="296" spans="1:13" ht="14.25" hidden="1" customHeight="1" x14ac:dyDescent="0.25">
      <c r="A296"/>
      <c r="B296" s="455"/>
      <c r="C296" s="66" t="s">
        <v>1026</v>
      </c>
      <c r="D296">
        <f>48.55</f>
        <v>48.55</v>
      </c>
      <c r="E296">
        <v>0.4</v>
      </c>
      <c r="F296">
        <f>D296*E296*2</f>
        <v>38.840000000000003</v>
      </c>
      <c r="G296" s="99"/>
      <c r="H296" s="95">
        <f>F296</f>
        <v>38.840000000000003</v>
      </c>
      <c r="I296" s="182"/>
      <c r="J296"/>
      <c r="K296"/>
      <c r="L296"/>
      <c r="M296"/>
    </row>
    <row r="297" spans="1:13" ht="14.25" hidden="1" customHeight="1" x14ac:dyDescent="0.25">
      <c r="A297"/>
      <c r="B297" s="455"/>
      <c r="C297" s="66" t="s">
        <v>1028</v>
      </c>
      <c r="D297">
        <v>7.7</v>
      </c>
      <c r="E297">
        <v>0.4</v>
      </c>
      <c r="F297">
        <f>D297*E297*2*3</f>
        <v>18.48</v>
      </c>
      <c r="G297" s="99"/>
      <c r="H297" s="95">
        <f t="shared" ref="H297:H299" si="8">F297</f>
        <v>18.48</v>
      </c>
      <c r="I297"/>
      <c r="J297"/>
      <c r="K297"/>
      <c r="L297"/>
      <c r="M297"/>
    </row>
    <row r="298" spans="1:13" ht="14.25" hidden="1" customHeight="1" x14ac:dyDescent="0.25">
      <c r="A298"/>
      <c r="B298" s="455"/>
      <c r="C298" s="66" t="s">
        <v>981</v>
      </c>
      <c r="D298">
        <f>87.47</f>
        <v>87.47</v>
      </c>
      <c r="E298">
        <v>0.4</v>
      </c>
      <c r="F298">
        <f t="shared" ref="F298:F300" si="9">D298*E298*2</f>
        <v>69.975999999999999</v>
      </c>
      <c r="G298" s="99"/>
      <c r="H298" s="95">
        <f t="shared" si="8"/>
        <v>69.975999999999999</v>
      </c>
      <c r="I298"/>
      <c r="J298"/>
      <c r="K298"/>
      <c r="L298"/>
      <c r="M298"/>
    </row>
    <row r="299" spans="1:13" ht="14.25" hidden="1" customHeight="1" x14ac:dyDescent="0.25">
      <c r="A299"/>
      <c r="B299" s="455"/>
      <c r="C299" s="66" t="s">
        <v>982</v>
      </c>
      <c r="D299">
        <v>87.85</v>
      </c>
      <c r="E299">
        <v>0.4</v>
      </c>
      <c r="F299">
        <f t="shared" si="9"/>
        <v>70.28</v>
      </c>
      <c r="G299" s="99"/>
      <c r="H299" s="95">
        <f t="shared" si="8"/>
        <v>70.28</v>
      </c>
      <c r="I299"/>
      <c r="J299"/>
      <c r="K299"/>
      <c r="L299"/>
      <c r="M299"/>
    </row>
    <row r="300" spans="1:13" ht="14.25" hidden="1" customHeight="1" x14ac:dyDescent="0.25">
      <c r="A300"/>
      <c r="B300" s="455"/>
      <c r="C300" s="66" t="s">
        <v>1029</v>
      </c>
      <c r="D300">
        <f>14.5+32.5</f>
        <v>47</v>
      </c>
      <c r="E300">
        <v>0.4</v>
      </c>
      <c r="F300">
        <f t="shared" si="9"/>
        <v>37.6</v>
      </c>
      <c r="G300" s="99"/>
      <c r="H300" s="95">
        <f>F300+0.008</f>
        <v>37.608000000000004</v>
      </c>
      <c r="I300"/>
      <c r="J300"/>
      <c r="K300"/>
      <c r="L300"/>
      <c r="M300"/>
    </row>
    <row r="301" spans="1:13" ht="39.6" x14ac:dyDescent="0.25">
      <c r="A301" s="80" t="s">
        <v>640</v>
      </c>
      <c r="B301" s="81"/>
      <c r="C301" s="82" t="str">
        <f>VLOOKUP(A301,'[2]Orçamento Sintético'!A:J,4,0)</f>
        <v>ARMAÇÃO DE ESTRUTURAS DIVERSAS DE CONCRETO ARMADO, EXCETO VIGAS, PILARES, LAJES E FUNDAÇÕES, UTILIZANDO AÇO CA-50 DE 6,3 MM - MONTAGEM. AF_06/2022</v>
      </c>
      <c r="D301" s="81"/>
      <c r="E301" s="81" t="str">
        <f>VLOOKUP(A301,'[2]Orçamento Sintético'!A:J,5,0)</f>
        <v>KG</v>
      </c>
      <c r="F301" s="462" t="s">
        <v>611</v>
      </c>
      <c r="G301" s="462"/>
      <c r="H301" s="85">
        <f>H307</f>
        <v>0.73</v>
      </c>
      <c r="I301" s="216"/>
      <c r="J301"/>
      <c r="K301"/>
      <c r="L301"/>
      <c r="M301"/>
    </row>
    <row r="302" spans="1:13" ht="14.25" customHeight="1" x14ac:dyDescent="0.25">
      <c r="A302" s="65"/>
      <c r="B302" s="65"/>
      <c r="C302" s="66"/>
      <c r="D302" s="67"/>
      <c r="E302" s="67"/>
      <c r="F302" s="463" t="s">
        <v>578</v>
      </c>
      <c r="G302" s="464"/>
      <c r="H302" s="68">
        <v>0</v>
      </c>
      <c r="I302"/>
      <c r="J302"/>
      <c r="K302"/>
      <c r="L302"/>
      <c r="M302"/>
    </row>
    <row r="303" spans="1:13" ht="14.25" customHeight="1" x14ac:dyDescent="0.25">
      <c r="A303" s="65"/>
      <c r="B303" s="65"/>
      <c r="C303" s="66"/>
      <c r="D303" s="67"/>
      <c r="E303" s="67"/>
      <c r="F303" s="456" t="s">
        <v>579</v>
      </c>
      <c r="G303" s="456"/>
      <c r="H303" s="377">
        <f>VLOOKUP(A301,'[2]Orçamento Sintético'!A:J,6,0)</f>
        <v>0.73</v>
      </c>
      <c r="I303"/>
      <c r="J303"/>
      <c r="K303"/>
      <c r="L303"/>
      <c r="M303"/>
    </row>
    <row r="304" spans="1:13" ht="14.25" customHeight="1" x14ac:dyDescent="0.25">
      <c r="A304" s="65"/>
      <c r="B304" s="65"/>
      <c r="C304" s="66"/>
      <c r="D304" s="67"/>
      <c r="E304" s="67"/>
      <c r="F304" s="456" t="s">
        <v>596</v>
      </c>
      <c r="G304" s="456"/>
      <c r="H304" s="264">
        <f>SUM(H307:H308)</f>
        <v>0.73</v>
      </c>
      <c r="I304"/>
      <c r="J304"/>
      <c r="K304"/>
      <c r="L304"/>
      <c r="M304"/>
    </row>
    <row r="305" spans="1:13" ht="14.25" customHeight="1" x14ac:dyDescent="0.25">
      <c r="A305" s="65"/>
      <c r="B305" s="65"/>
      <c r="C305" s="66"/>
      <c r="D305" s="67"/>
      <c r="E305" s="67"/>
      <c r="F305" s="457" t="s">
        <v>580</v>
      </c>
      <c r="G305" s="457"/>
      <c r="H305" s="264">
        <f>H303-H304</f>
        <v>0</v>
      </c>
      <c r="I305"/>
      <c r="J305"/>
      <c r="K305"/>
      <c r="L305"/>
      <c r="M305"/>
    </row>
    <row r="306" spans="1:13" ht="14.25" customHeight="1" x14ac:dyDescent="0.25">
      <c r="A306" s="65"/>
      <c r="B306" s="65"/>
      <c r="C306" s="66"/>
      <c r="D306" s="70" t="s">
        <v>971</v>
      </c>
      <c r="E306" s="70" t="s">
        <v>974</v>
      </c>
      <c r="F306" s="70" t="s">
        <v>975</v>
      </c>
      <c r="G306" s="71" t="s">
        <v>584</v>
      </c>
      <c r="H306" s="378"/>
      <c r="I306"/>
      <c r="J306"/>
      <c r="K306"/>
      <c r="L306"/>
      <c r="M306"/>
    </row>
    <row r="307" spans="1:13" ht="38.25" customHeight="1" x14ac:dyDescent="0.25">
      <c r="A307" s="65"/>
      <c r="B307" s="365" t="s">
        <v>1085</v>
      </c>
      <c r="C307" s="66" t="s">
        <v>1114</v>
      </c>
      <c r="D307" s="67"/>
      <c r="E307" s="67"/>
      <c r="F307" s="98">
        <v>0.73</v>
      </c>
      <c r="G307" s="98"/>
      <c r="H307" s="229">
        <f>F307</f>
        <v>0.73</v>
      </c>
      <c r="I307"/>
      <c r="J307"/>
      <c r="K307"/>
      <c r="L307"/>
      <c r="M307"/>
    </row>
    <row r="308" spans="1:13" ht="14.25" customHeight="1" x14ac:dyDescent="0.25">
      <c r="A308"/>
      <c r="B308"/>
      <c r="C308" s="66"/>
      <c r="D308"/>
      <c r="E308"/>
      <c r="F308"/>
      <c r="G308" s="99"/>
      <c r="H308"/>
      <c r="I308"/>
      <c r="J308"/>
      <c r="K308"/>
      <c r="L308"/>
      <c r="M308"/>
    </row>
    <row r="309" spans="1:13" ht="14.25" hidden="1" customHeight="1" x14ac:dyDescent="0.25">
      <c r="A309" s="80" t="s">
        <v>641</v>
      </c>
      <c r="B309" s="81"/>
      <c r="C309" s="82" t="str">
        <f>VLOOKUP(A309,'[2]Orçamento Sintético'!A:J,4,0)</f>
        <v>ARMAÇÃO DE ESTRUTURAS DIVERSAS DE CONCRETO ARMADO, EXCETO VIGAS, PILARES, LAJES E FUNDAÇÕES, UTILIZANDO AÇO CA-50 DE 8,0 MM - MONTAGEM. AF_06/2022</v>
      </c>
      <c r="D309" s="81"/>
      <c r="E309" s="81" t="str">
        <f>VLOOKUP(A309,'[2]Orçamento Sintético'!A:J,5,0)</f>
        <v>KG</v>
      </c>
      <c r="F309" s="462" t="s">
        <v>1084</v>
      </c>
      <c r="G309" s="462"/>
      <c r="H309" s="85">
        <f>H318+H319+H320+H321+H322</f>
        <v>417.5</v>
      </c>
      <c r="I309" s="216"/>
      <c r="J309"/>
      <c r="K309"/>
      <c r="L309"/>
      <c r="M309"/>
    </row>
    <row r="310" spans="1:13" ht="14.25" hidden="1" customHeight="1" x14ac:dyDescent="0.25">
      <c r="A310" s="65"/>
      <c r="B310" s="65"/>
      <c r="C310" s="66"/>
      <c r="D310" s="67"/>
      <c r="E310" s="67"/>
      <c r="F310" s="463" t="s">
        <v>578</v>
      </c>
      <c r="G310" s="464"/>
      <c r="H310" s="68"/>
      <c r="I310"/>
      <c r="J310"/>
      <c r="K310"/>
      <c r="L310"/>
      <c r="M310"/>
    </row>
    <row r="311" spans="1:13" ht="14.25" hidden="1" customHeight="1" x14ac:dyDescent="0.25">
      <c r="A311" s="65"/>
      <c r="B311" s="65"/>
      <c r="C311" s="66"/>
      <c r="D311" s="67"/>
      <c r="E311" s="67"/>
      <c r="F311" s="456" t="s">
        <v>579</v>
      </c>
      <c r="G311" s="456"/>
      <c r="H311" s="68">
        <f>VLOOKUP(A309,'[2]Orçamento Sintético'!A:J,6,0)</f>
        <v>829.82</v>
      </c>
      <c r="I311"/>
      <c r="J311"/>
      <c r="K311"/>
      <c r="L311"/>
      <c r="M311"/>
    </row>
    <row r="312" spans="1:13" ht="14.25" hidden="1" customHeight="1" x14ac:dyDescent="0.25">
      <c r="A312" s="65"/>
      <c r="B312" s="65"/>
      <c r="C312" s="66"/>
      <c r="D312" s="67"/>
      <c r="E312" s="67"/>
      <c r="F312" s="456" t="s">
        <v>596</v>
      </c>
      <c r="G312" s="456"/>
      <c r="H312" s="69">
        <f>SUM(H315:H322)</f>
        <v>829.81999999999994</v>
      </c>
      <c r="I312"/>
      <c r="J312"/>
      <c r="K312"/>
      <c r="L312"/>
      <c r="M312"/>
    </row>
    <row r="313" spans="1:13" ht="14.25" hidden="1" customHeight="1" x14ac:dyDescent="0.25">
      <c r="A313" s="65"/>
      <c r="B313" s="65"/>
      <c r="C313" s="66"/>
      <c r="D313" s="67"/>
      <c r="E313" s="67"/>
      <c r="F313" s="457" t="s">
        <v>580</v>
      </c>
      <c r="G313" s="457"/>
      <c r="H313" s="69">
        <f>H311-H312</f>
        <v>0</v>
      </c>
      <c r="I313"/>
      <c r="J313"/>
      <c r="K313"/>
      <c r="L313"/>
      <c r="M313"/>
    </row>
    <row r="314" spans="1:13" ht="15" hidden="1" customHeight="1" x14ac:dyDescent="0.25">
      <c r="A314" s="65"/>
      <c r="B314" s="65"/>
      <c r="C314" s="66"/>
      <c r="D314" s="70" t="s">
        <v>971</v>
      </c>
      <c r="E314" s="70" t="s">
        <v>974</v>
      </c>
      <c r="F314" s="70" t="s">
        <v>975</v>
      </c>
      <c r="G314" s="71" t="s">
        <v>584</v>
      </c>
      <c r="H314" s="75"/>
      <c r="I314"/>
      <c r="J314"/>
      <c r="K314"/>
      <c r="L314"/>
      <c r="M314"/>
    </row>
    <row r="315" spans="1:13" ht="14.25" hidden="1" customHeight="1" x14ac:dyDescent="0.25">
      <c r="A315" s="65"/>
      <c r="B315" s="72" t="s">
        <v>612</v>
      </c>
      <c r="C315" s="66" t="s">
        <v>873</v>
      </c>
      <c r="D315" s="67"/>
      <c r="E315" s="67"/>
      <c r="F315" s="73">
        <v>412.32</v>
      </c>
      <c r="G315" s="98"/>
      <c r="H315" s="96">
        <f>F315</f>
        <v>412.32</v>
      </c>
      <c r="I315"/>
      <c r="J315"/>
      <c r="K315"/>
      <c r="L315"/>
      <c r="M315"/>
    </row>
    <row r="316" spans="1:13" ht="14.25" hidden="1" customHeight="1" x14ac:dyDescent="0.25">
      <c r="A316"/>
      <c r="B316"/>
      <c r="C316"/>
      <c r="D316"/>
      <c r="E316"/>
      <c r="F316"/>
      <c r="G316"/>
      <c r="H316" s="96">
        <f t="shared" ref="H316:H317" si="10">F316</f>
        <v>0</v>
      </c>
      <c r="I316"/>
      <c r="J316"/>
      <c r="K316"/>
      <c r="L316"/>
      <c r="M316"/>
    </row>
    <row r="317" spans="1:13" ht="14.25" hidden="1" customHeight="1" x14ac:dyDescent="0.25">
      <c r="A317"/>
      <c r="B317"/>
      <c r="C317"/>
      <c r="D317"/>
      <c r="E317"/>
      <c r="F317"/>
      <c r="G317"/>
      <c r="H317" s="96">
        <f t="shared" si="10"/>
        <v>0</v>
      </c>
      <c r="I317"/>
      <c r="J317"/>
      <c r="K317"/>
      <c r="L317"/>
      <c r="M317"/>
    </row>
    <row r="318" spans="1:13" ht="37.5" hidden="1" customHeight="1" x14ac:dyDescent="0.25">
      <c r="A318"/>
      <c r="B318" s="506" t="s">
        <v>980</v>
      </c>
      <c r="C318" s="182" t="s">
        <v>1031</v>
      </c>
      <c r="D318"/>
      <c r="E318"/>
      <c r="F318">
        <v>133.6</v>
      </c>
      <c r="G318"/>
      <c r="H318" s="96">
        <f>F318</f>
        <v>133.6</v>
      </c>
      <c r="I318"/>
      <c r="J318"/>
      <c r="K318"/>
      <c r="L318"/>
      <c r="M318"/>
    </row>
    <row r="319" spans="1:13" ht="14.25" hidden="1" customHeight="1" x14ac:dyDescent="0.25">
      <c r="A319"/>
      <c r="B319" s="506"/>
      <c r="C319" s="182" t="s">
        <v>1032</v>
      </c>
      <c r="D319"/>
      <c r="E319"/>
      <c r="F319">
        <v>76.900000000000006</v>
      </c>
      <c r="G319"/>
      <c r="H319" s="96">
        <f t="shared" ref="H319:H322" si="11">F319</f>
        <v>76.900000000000006</v>
      </c>
      <c r="I319"/>
      <c r="J319"/>
      <c r="K319"/>
      <c r="L319"/>
      <c r="M319"/>
    </row>
    <row r="320" spans="1:13" ht="14.25" hidden="1" customHeight="1" x14ac:dyDescent="0.25">
      <c r="A320"/>
      <c r="B320" s="506"/>
      <c r="C320" s="182" t="s">
        <v>1033</v>
      </c>
      <c r="D320"/>
      <c r="E320"/>
      <c r="F320">
        <v>35</v>
      </c>
      <c r="G320"/>
      <c r="H320" s="96">
        <f t="shared" si="11"/>
        <v>35</v>
      </c>
      <c r="I320"/>
      <c r="J320"/>
      <c r="K320"/>
      <c r="L320"/>
      <c r="M320"/>
    </row>
    <row r="321" spans="1:13" ht="14.25" hidden="1" customHeight="1" x14ac:dyDescent="0.25">
      <c r="A321"/>
      <c r="B321" s="506"/>
      <c r="C321" s="182" t="s">
        <v>1034</v>
      </c>
      <c r="D321"/>
      <c r="E321"/>
      <c r="F321">
        <v>26.5</v>
      </c>
      <c r="G321">
        <v>3</v>
      </c>
      <c r="H321" s="96">
        <f>F321*G321</f>
        <v>79.5</v>
      </c>
      <c r="I321"/>
      <c r="J321"/>
      <c r="K321"/>
      <c r="L321"/>
      <c r="M321"/>
    </row>
    <row r="322" spans="1:13" ht="14.25" hidden="1" customHeight="1" x14ac:dyDescent="0.25">
      <c r="A322"/>
      <c r="B322" s="506"/>
      <c r="C322" s="182" t="s">
        <v>1035</v>
      </c>
      <c r="D322"/>
      <c r="E322"/>
      <c r="F322">
        <v>92.5</v>
      </c>
      <c r="G322"/>
      <c r="H322" s="96">
        <f t="shared" si="11"/>
        <v>92.5</v>
      </c>
      <c r="I322"/>
      <c r="J322"/>
      <c r="K322"/>
      <c r="L322"/>
      <c r="M322"/>
    </row>
    <row r="323" spans="1:13" ht="14.25" customHeight="1" x14ac:dyDescent="0.25">
      <c r="A323"/>
      <c r="B323"/>
      <c r="C323"/>
      <c r="D323"/>
      <c r="E323"/>
      <c r="F323"/>
      <c r="G323"/>
      <c r="H323"/>
      <c r="I323"/>
      <c r="J323"/>
      <c r="K323"/>
      <c r="L323"/>
      <c r="M323"/>
    </row>
    <row r="324" spans="1:13" ht="39.6" hidden="1" x14ac:dyDescent="0.25">
      <c r="A324" s="80" t="s">
        <v>642</v>
      </c>
      <c r="B324" s="81"/>
      <c r="C324" s="82" t="str">
        <f>VLOOKUP(A324,'[2]Orçamento Sintético'!A:J,4,0)</f>
        <v>ARMAÇÃO DE ESTRUTURAS DIVERSAS DE CONCRETO ARMADO, EXCETO VIGAS, PILARES, LAJES E FUNDAÇÕES, UTILIZANDO AÇO CA-50 DE 10,0 MM - MONTAGEM. AF_06/2022</v>
      </c>
      <c r="D324" s="81"/>
      <c r="E324" s="81" t="str">
        <f>VLOOKUP(A324,'[2]Orçamento Sintético'!A:J,5,0)</f>
        <v>KG</v>
      </c>
      <c r="F324" s="462" t="s">
        <v>1084</v>
      </c>
      <c r="G324" s="462"/>
      <c r="H324" s="85">
        <f>H333</f>
        <v>0</v>
      </c>
      <c r="I324"/>
      <c r="J324"/>
      <c r="K324"/>
      <c r="L324"/>
      <c r="M324"/>
    </row>
    <row r="325" spans="1:13" ht="14.25" hidden="1" customHeight="1" x14ac:dyDescent="0.25">
      <c r="A325" s="65"/>
      <c r="B325" s="65"/>
      <c r="C325" s="66"/>
      <c r="D325" s="67"/>
      <c r="E325" s="67"/>
      <c r="F325" s="463" t="s">
        <v>578</v>
      </c>
      <c r="G325" s="464"/>
      <c r="H325" s="377">
        <f>H331+H332</f>
        <v>100.82000000000001</v>
      </c>
      <c r="I325"/>
      <c r="J325"/>
      <c r="K325"/>
      <c r="L325"/>
      <c r="M325"/>
    </row>
    <row r="326" spans="1:13" ht="14.25" hidden="1" customHeight="1" x14ac:dyDescent="0.25">
      <c r="A326" s="65"/>
      <c r="B326" s="65"/>
      <c r="C326" s="66"/>
      <c r="D326" s="67"/>
      <c r="E326" s="67"/>
      <c r="F326" s="456" t="s">
        <v>579</v>
      </c>
      <c r="G326" s="456"/>
      <c r="H326" s="377">
        <f>VLOOKUP(A324,'[2]Orçamento Sintético'!A:J,6,0)</f>
        <v>100.82</v>
      </c>
      <c r="I326"/>
      <c r="J326"/>
      <c r="K326"/>
      <c r="L326"/>
      <c r="M326"/>
    </row>
    <row r="327" spans="1:13" ht="15" hidden="1" customHeight="1" x14ac:dyDescent="0.25">
      <c r="A327" s="65"/>
      <c r="B327" s="65"/>
      <c r="C327" s="66"/>
      <c r="D327" s="67"/>
      <c r="E327" s="67"/>
      <c r="F327" s="456" t="s">
        <v>596</v>
      </c>
      <c r="G327" s="456"/>
      <c r="H327" s="264">
        <f>H333</f>
        <v>0</v>
      </c>
      <c r="I327"/>
      <c r="J327"/>
      <c r="K327"/>
      <c r="L327"/>
      <c r="M327"/>
    </row>
    <row r="328" spans="1:13" ht="14.25" hidden="1" customHeight="1" x14ac:dyDescent="0.25">
      <c r="A328" s="65"/>
      <c r="B328" s="65"/>
      <c r="C328" s="66"/>
      <c r="D328" s="67"/>
      <c r="E328" s="67"/>
      <c r="F328" s="457" t="s">
        <v>580</v>
      </c>
      <c r="G328" s="457"/>
      <c r="H328" s="264">
        <f>H326-(H325+H327)</f>
        <v>0</v>
      </c>
      <c r="I328"/>
      <c r="J328"/>
      <c r="K328"/>
      <c r="L328"/>
      <c r="M328"/>
    </row>
    <row r="329" spans="1:13" ht="14.25" hidden="1" customHeight="1" x14ac:dyDescent="0.25">
      <c r="A329" s="65"/>
      <c r="B329" s="65"/>
      <c r="C329" s="66"/>
      <c r="D329" s="70" t="s">
        <v>971</v>
      </c>
      <c r="E329" s="70" t="s">
        <v>974</v>
      </c>
      <c r="F329" s="70" t="s">
        <v>975</v>
      </c>
      <c r="G329" s="71" t="s">
        <v>584</v>
      </c>
      <c r="H329" s="378"/>
      <c r="I329"/>
      <c r="J329"/>
      <c r="K329"/>
      <c r="L329"/>
      <c r="M329"/>
    </row>
    <row r="330" spans="1:13" ht="14.25" hidden="1" customHeight="1" x14ac:dyDescent="0.25">
      <c r="A330" s="65"/>
      <c r="B330" s="72"/>
      <c r="C330" s="66"/>
      <c r="D330" s="67"/>
      <c r="E330" s="67"/>
      <c r="F330" s="73"/>
      <c r="G330" s="98"/>
      <c r="H330" s="229"/>
      <c r="I330"/>
      <c r="J330"/>
      <c r="K330"/>
      <c r="L330"/>
      <c r="M330"/>
    </row>
    <row r="331" spans="1:13" ht="14.25" hidden="1" customHeight="1" x14ac:dyDescent="0.25">
      <c r="A331"/>
      <c r="B331" s="506" t="s">
        <v>980</v>
      </c>
      <c r="C331" s="182" t="s">
        <v>1031</v>
      </c>
      <c r="D331"/>
      <c r="E331"/>
      <c r="F331">
        <v>10.5</v>
      </c>
      <c r="G331"/>
      <c r="H331" s="379">
        <f>F331</f>
        <v>10.5</v>
      </c>
      <c r="I331"/>
      <c r="J331"/>
      <c r="K331"/>
      <c r="L331"/>
      <c r="M331"/>
    </row>
    <row r="332" spans="1:13" ht="14.25" hidden="1" customHeight="1" x14ac:dyDescent="0.25">
      <c r="A332"/>
      <c r="B332" s="506"/>
      <c r="C332" s="182" t="s">
        <v>1032</v>
      </c>
      <c r="D332"/>
      <c r="E332"/>
      <c r="F332">
        <v>86.9</v>
      </c>
      <c r="G332"/>
      <c r="H332" s="379">
        <f>F332+3.42</f>
        <v>90.320000000000007</v>
      </c>
      <c r="I332"/>
      <c r="J332"/>
      <c r="K332"/>
      <c r="L332"/>
      <c r="M332"/>
    </row>
    <row r="333" spans="1:13" ht="14.25" customHeight="1" x14ac:dyDescent="0.25">
      <c r="A333"/>
      <c r="B333" s="365"/>
      <c r="C333" s="182"/>
      <c r="D333"/>
      <c r="E333"/>
      <c r="F333"/>
      <c r="G333"/>
      <c r="H333" s="379"/>
      <c r="I333"/>
      <c r="J333"/>
      <c r="K333"/>
      <c r="L333"/>
      <c r="M333"/>
    </row>
    <row r="334" spans="1:13" ht="37.5" customHeight="1" x14ac:dyDescent="0.25">
      <c r="A334"/>
      <c r="B334"/>
      <c r="C334" s="182"/>
      <c r="D334"/>
      <c r="E334"/>
      <c r="F334"/>
      <c r="G334"/>
      <c r="H334"/>
      <c r="I334"/>
      <c r="J334"/>
      <c r="K334"/>
      <c r="L334"/>
      <c r="M334"/>
    </row>
    <row r="335" spans="1:13" ht="14.25" customHeight="1" x14ac:dyDescent="0.25">
      <c r="A335"/>
      <c r="B335"/>
      <c r="C335" s="66"/>
      <c r="D335"/>
      <c r="E335"/>
      <c r="F335"/>
      <c r="G335"/>
      <c r="H335"/>
      <c r="I335"/>
      <c r="J335"/>
      <c r="K335"/>
      <c r="L335"/>
      <c r="M335"/>
    </row>
    <row r="336" spans="1:13" ht="39.6" hidden="1" x14ac:dyDescent="0.25">
      <c r="A336" s="80" t="s">
        <v>643</v>
      </c>
      <c r="B336" s="81"/>
      <c r="C336" s="82" t="str">
        <f>VLOOKUP(A336,'[2]Orçamento Sintético'!A:J,4,0)</f>
        <v>ARMAÇÃO DE ESTRUTURAS DIVERSAS DE CONCRETO ARMADO, EXCETO VIGAS, PILARES, LAJES E FUNDAÇÕES, UTILIZANDO AÇO CA-60 DE 5,0 MM - MONTAGEM. AF_06/2022</v>
      </c>
      <c r="D336" s="81"/>
      <c r="E336" s="81" t="str">
        <f>VLOOKUP(A336,'[2]Orçamento Sintético'!A:J,5,0)</f>
        <v>KG</v>
      </c>
      <c r="F336" s="462" t="s">
        <v>1084</v>
      </c>
      <c r="G336" s="462"/>
      <c r="H336" s="85">
        <f>H345+H346+H347+H348+H349+H344</f>
        <v>226.98000000000002</v>
      </c>
      <c r="I336" s="216"/>
      <c r="J336"/>
      <c r="K336"/>
      <c r="L336"/>
      <c r="M336"/>
    </row>
    <row r="337" spans="1:13" ht="14.25" hidden="1" customHeight="1" x14ac:dyDescent="0.25">
      <c r="A337" s="65"/>
      <c r="B337" s="65"/>
      <c r="C337" s="66"/>
      <c r="D337" s="67"/>
      <c r="E337" s="67"/>
      <c r="F337" s="463" t="s">
        <v>578</v>
      </c>
      <c r="G337" s="464"/>
      <c r="H337" s="380"/>
      <c r="I337"/>
      <c r="J337"/>
      <c r="K337"/>
      <c r="L337"/>
      <c r="M337"/>
    </row>
    <row r="338" spans="1:13" ht="14.25" hidden="1" customHeight="1" x14ac:dyDescent="0.25">
      <c r="A338" s="65"/>
      <c r="B338" s="65"/>
      <c r="C338" s="66"/>
      <c r="D338" s="67"/>
      <c r="E338" s="67"/>
      <c r="F338" s="456" t="s">
        <v>579</v>
      </c>
      <c r="G338" s="456"/>
      <c r="H338" s="380">
        <f>VLOOKUP(A336,'[2]Orçamento Sintético'!A:J,6,0)</f>
        <v>395</v>
      </c>
      <c r="I338"/>
      <c r="J338"/>
      <c r="K338"/>
      <c r="L338"/>
      <c r="M338"/>
    </row>
    <row r="339" spans="1:13" ht="14.25" hidden="1" customHeight="1" x14ac:dyDescent="0.25">
      <c r="A339" s="65"/>
      <c r="B339" s="65"/>
      <c r="C339" s="66"/>
      <c r="D339" s="67"/>
      <c r="E339" s="67"/>
      <c r="F339" s="456" t="s">
        <v>596</v>
      </c>
      <c r="G339" s="456"/>
      <c r="H339" s="381">
        <f>SUM(H342:H349)</f>
        <v>395.00000000000006</v>
      </c>
      <c r="I339"/>
      <c r="J339"/>
      <c r="K339"/>
      <c r="L339"/>
      <c r="M339"/>
    </row>
    <row r="340" spans="1:13" ht="14.25" hidden="1" customHeight="1" x14ac:dyDescent="0.25">
      <c r="A340" s="65"/>
      <c r="B340" s="65"/>
      <c r="C340" s="66"/>
      <c r="D340" s="67"/>
      <c r="E340" s="67"/>
      <c r="F340" s="457" t="s">
        <v>580</v>
      </c>
      <c r="G340" s="457"/>
      <c r="H340" s="381">
        <f>H338-H339</f>
        <v>0</v>
      </c>
      <c r="I340"/>
      <c r="J340"/>
      <c r="K340"/>
      <c r="L340"/>
      <c r="M340"/>
    </row>
    <row r="341" spans="1:13" ht="14.25" hidden="1" customHeight="1" x14ac:dyDescent="0.25">
      <c r="A341" s="65"/>
      <c r="B341" s="65"/>
      <c r="C341" s="66"/>
      <c r="D341" s="70" t="s">
        <v>971</v>
      </c>
      <c r="E341" s="70" t="s">
        <v>974</v>
      </c>
      <c r="F341" s="70" t="s">
        <v>975</v>
      </c>
      <c r="G341" s="71" t="s">
        <v>584</v>
      </c>
      <c r="H341" s="382"/>
      <c r="I341"/>
      <c r="J341"/>
      <c r="K341"/>
      <c r="L341"/>
      <c r="M341"/>
    </row>
    <row r="342" spans="1:13" ht="14.25" hidden="1" customHeight="1" x14ac:dyDescent="0.25">
      <c r="A342" s="65"/>
      <c r="B342" s="72" t="s">
        <v>612</v>
      </c>
      <c r="C342" s="66" t="s">
        <v>873</v>
      </c>
      <c r="D342" s="67"/>
      <c r="E342" s="67"/>
      <c r="F342" s="73">
        <v>168.02</v>
      </c>
      <c r="G342" s="98"/>
      <c r="H342" s="383">
        <f>F342</f>
        <v>168.02</v>
      </c>
      <c r="I342"/>
      <c r="J342"/>
      <c r="K342"/>
      <c r="L342"/>
      <c r="M342"/>
    </row>
    <row r="343" spans="1:13" ht="14.25" hidden="1" customHeight="1" x14ac:dyDescent="0.25">
      <c r="A343"/>
      <c r="B343"/>
      <c r="C343"/>
      <c r="D343"/>
      <c r="E343"/>
      <c r="F343"/>
      <c r="G343"/>
      <c r="H343" s="383">
        <f t="shared" ref="H343" si="12">F343</f>
        <v>0</v>
      </c>
      <c r="I343"/>
      <c r="J343"/>
      <c r="K343"/>
      <c r="L343"/>
      <c r="M343"/>
    </row>
    <row r="344" spans="1:13" ht="14.25" hidden="1" customHeight="1" x14ac:dyDescent="0.25">
      <c r="A344"/>
      <c r="B344" s="455" t="s">
        <v>980</v>
      </c>
      <c r="C344" s="182" t="s">
        <v>1080</v>
      </c>
      <c r="D344"/>
      <c r="E344"/>
      <c r="F344">
        <v>6.08</v>
      </c>
      <c r="G344"/>
      <c r="H344" s="383">
        <f>F344</f>
        <v>6.08</v>
      </c>
      <c r="I344"/>
      <c r="J344"/>
      <c r="K344"/>
      <c r="L344"/>
      <c r="M344"/>
    </row>
    <row r="345" spans="1:13" ht="14.25" hidden="1" customHeight="1" x14ac:dyDescent="0.25">
      <c r="A345"/>
      <c r="B345" s="455"/>
      <c r="C345" s="182" t="s">
        <v>1031</v>
      </c>
      <c r="D345"/>
      <c r="E345"/>
      <c r="F345">
        <v>66</v>
      </c>
      <c r="G345"/>
      <c r="H345" s="383">
        <f>F345</f>
        <v>66</v>
      </c>
      <c r="I345"/>
      <c r="J345"/>
      <c r="K345"/>
      <c r="L345"/>
      <c r="M345"/>
    </row>
    <row r="346" spans="1:13" ht="14.25" hidden="1" customHeight="1" x14ac:dyDescent="0.25">
      <c r="A346"/>
      <c r="B346" s="455"/>
      <c r="C346" s="182" t="s">
        <v>1032</v>
      </c>
      <c r="D346"/>
      <c r="E346"/>
      <c r="F346">
        <v>63.5</v>
      </c>
      <c r="G346"/>
      <c r="H346" s="383">
        <f t="shared" ref="H346:H350" si="13">F346</f>
        <v>63.5</v>
      </c>
      <c r="I346"/>
      <c r="J346"/>
      <c r="K346"/>
      <c r="L346"/>
      <c r="M346"/>
    </row>
    <row r="347" spans="1:13" ht="14.25" hidden="1" customHeight="1" x14ac:dyDescent="0.25">
      <c r="A347"/>
      <c r="B347" s="455"/>
      <c r="C347" s="182" t="s">
        <v>1033</v>
      </c>
      <c r="D347"/>
      <c r="E347"/>
      <c r="F347">
        <v>11.8</v>
      </c>
      <c r="G347"/>
      <c r="H347" s="383">
        <f t="shared" si="13"/>
        <v>11.8</v>
      </c>
      <c r="I347"/>
      <c r="J347"/>
      <c r="K347"/>
      <c r="L347"/>
      <c r="M347"/>
    </row>
    <row r="348" spans="1:13" hidden="1" x14ac:dyDescent="0.25">
      <c r="A348"/>
      <c r="B348" s="455"/>
      <c r="C348" s="182" t="s">
        <v>1034</v>
      </c>
      <c r="D348"/>
      <c r="E348"/>
      <c r="F348">
        <v>8.1999999999999993</v>
      </c>
      <c r="G348">
        <v>3</v>
      </c>
      <c r="H348" s="383">
        <f>F348*G348</f>
        <v>24.599999999999998</v>
      </c>
      <c r="I348"/>
      <c r="J348"/>
      <c r="K348"/>
      <c r="L348"/>
      <c r="M348"/>
    </row>
    <row r="349" spans="1:13" hidden="1" x14ac:dyDescent="0.25">
      <c r="A349"/>
      <c r="B349" s="455"/>
      <c r="C349" s="182" t="s">
        <v>1035</v>
      </c>
      <c r="D349"/>
      <c r="E349"/>
      <c r="F349">
        <v>55</v>
      </c>
      <c r="G349"/>
      <c r="H349" s="383">
        <f t="shared" si="13"/>
        <v>55</v>
      </c>
      <c r="I349"/>
      <c r="J349"/>
      <c r="K349"/>
      <c r="L349"/>
      <c r="M349"/>
    </row>
    <row r="350" spans="1:13" hidden="1" x14ac:dyDescent="0.25">
      <c r="A350"/>
      <c r="B350"/>
      <c r="C350" s="182"/>
      <c r="D350"/>
      <c r="E350"/>
      <c r="F350"/>
      <c r="G350"/>
      <c r="H350" s="96">
        <f t="shared" si="13"/>
        <v>0</v>
      </c>
      <c r="I350"/>
      <c r="J350"/>
      <c r="K350"/>
      <c r="L350"/>
      <c r="M350"/>
    </row>
    <row r="351" spans="1:13" hidden="1" x14ac:dyDescent="0.25">
      <c r="A351"/>
      <c r="B351"/>
      <c r="C351" s="182"/>
      <c r="D351"/>
      <c r="E351"/>
      <c r="F351"/>
      <c r="G351"/>
      <c r="H351"/>
      <c r="I351"/>
      <c r="J351"/>
      <c r="K351"/>
      <c r="L351"/>
      <c r="M351"/>
    </row>
    <row r="352" spans="1:13" ht="39.6" hidden="1" x14ac:dyDescent="0.25">
      <c r="A352" s="80" t="s">
        <v>644</v>
      </c>
      <c r="B352" s="81"/>
      <c r="C352" s="82" t="str">
        <f>VLOOKUP(A352,'[2]Orçamento Sintético'!A:J,4,0)</f>
        <v>CONCRETAGEM DE BLOCOS DE COROAMENTO E VIGAS BALDRAMES, FCK 30 MPA, COM USO DE BOMBA  LANÇAMENTO, ADENSAMENTO E ACABAMENTO. AF_06/2017</v>
      </c>
      <c r="D352" s="81"/>
      <c r="E352" s="81" t="str">
        <f>VLOOKUP(A352,'[2]Orçamento Sintético'!A:J,5,0)</f>
        <v>m³</v>
      </c>
      <c r="F352" s="462" t="s">
        <v>1084</v>
      </c>
      <c r="G352" s="462"/>
      <c r="H352" s="85">
        <f>H366</f>
        <v>0</v>
      </c>
      <c r="I352" s="216"/>
      <c r="J352"/>
      <c r="K352"/>
      <c r="L352"/>
      <c r="M352"/>
    </row>
    <row r="353" spans="1:13" hidden="1" x14ac:dyDescent="0.25">
      <c r="A353" s="65"/>
      <c r="B353" s="65"/>
      <c r="C353" s="66"/>
      <c r="D353" s="67"/>
      <c r="E353" s="67"/>
      <c r="F353" s="463" t="s">
        <v>578</v>
      </c>
      <c r="G353" s="464"/>
      <c r="H353" s="377">
        <f>H358+H361+H362+H363+H364+H365</f>
        <v>26.870000000000005</v>
      </c>
      <c r="I353"/>
      <c r="J353"/>
      <c r="K353"/>
      <c r="L353"/>
      <c r="M353"/>
    </row>
    <row r="354" spans="1:13" hidden="1" x14ac:dyDescent="0.25">
      <c r="A354" s="65"/>
      <c r="B354" s="65"/>
      <c r="C354" s="66"/>
      <c r="D354" s="67"/>
      <c r="E354" s="67"/>
      <c r="F354" s="456" t="s">
        <v>579</v>
      </c>
      <c r="G354" s="456"/>
      <c r="H354" s="377">
        <f>VLOOKUP(A352,'[2]Orçamento Sintético'!A:J,6,0)</f>
        <v>26.87</v>
      </c>
      <c r="I354"/>
      <c r="J354"/>
      <c r="K354"/>
      <c r="L354"/>
      <c r="M354"/>
    </row>
    <row r="355" spans="1:13" hidden="1" x14ac:dyDescent="0.25">
      <c r="A355" s="65"/>
      <c r="B355" s="65"/>
      <c r="C355" s="66"/>
      <c r="D355" s="67"/>
      <c r="E355" s="67"/>
      <c r="F355" s="456" t="s">
        <v>596</v>
      </c>
      <c r="G355" s="456"/>
      <c r="H355" s="264">
        <f>H366</f>
        <v>0</v>
      </c>
      <c r="I355"/>
      <c r="J355"/>
      <c r="K355"/>
      <c r="L355"/>
      <c r="M355"/>
    </row>
    <row r="356" spans="1:13" hidden="1" x14ac:dyDescent="0.25">
      <c r="A356" s="65"/>
      <c r="B356" s="65"/>
      <c r="C356" s="66"/>
      <c r="D356" s="67"/>
      <c r="E356" s="67"/>
      <c r="F356" s="457" t="s">
        <v>580</v>
      </c>
      <c r="G356" s="457"/>
      <c r="H356" s="264">
        <f>H354-(H353+H355)</f>
        <v>0</v>
      </c>
      <c r="I356"/>
      <c r="J356"/>
      <c r="K356"/>
      <c r="L356"/>
      <c r="M356"/>
    </row>
    <row r="357" spans="1:13" hidden="1" x14ac:dyDescent="0.25">
      <c r="A357" s="65"/>
      <c r="B357" s="65"/>
      <c r="C357" s="66"/>
      <c r="D357" s="70" t="s">
        <v>971</v>
      </c>
      <c r="E357" s="70" t="s">
        <v>972</v>
      </c>
      <c r="F357" s="70" t="s">
        <v>973</v>
      </c>
      <c r="G357" s="71" t="s">
        <v>584</v>
      </c>
      <c r="H357" s="378"/>
      <c r="I357"/>
      <c r="J357"/>
      <c r="K357"/>
      <c r="L357"/>
      <c r="M357"/>
    </row>
    <row r="358" spans="1:13" hidden="1" x14ac:dyDescent="0.25">
      <c r="A358" s="65"/>
      <c r="B358" s="72" t="s">
        <v>612</v>
      </c>
      <c r="C358" s="66" t="s">
        <v>873</v>
      </c>
      <c r="D358" s="67"/>
      <c r="E358" s="67"/>
      <c r="F358" s="73">
        <v>12.13</v>
      </c>
      <c r="G358" s="98"/>
      <c r="H358" s="229">
        <f>F358</f>
        <v>12.13</v>
      </c>
      <c r="I358"/>
      <c r="J358"/>
      <c r="K358"/>
      <c r="L358"/>
      <c r="M358"/>
    </row>
    <row r="359" spans="1:13" hidden="1" x14ac:dyDescent="0.25">
      <c r="A359"/>
      <c r="B359"/>
      <c r="C359"/>
      <c r="D359"/>
      <c r="E359"/>
      <c r="F359"/>
      <c r="G359"/>
      <c r="H359" s="229">
        <f t="shared" ref="H359:H361" si="14">F359</f>
        <v>0</v>
      </c>
      <c r="I359"/>
      <c r="J359"/>
      <c r="K359"/>
      <c r="L359"/>
      <c r="M359"/>
    </row>
    <row r="360" spans="1:13" hidden="1" x14ac:dyDescent="0.25">
      <c r="A360"/>
      <c r="B360"/>
      <c r="C360"/>
      <c r="D360"/>
      <c r="E360"/>
      <c r="F360"/>
      <c r="G360"/>
      <c r="H360" s="229">
        <f t="shared" si="14"/>
        <v>0</v>
      </c>
      <c r="I360"/>
      <c r="J360"/>
      <c r="K360"/>
      <c r="L360"/>
      <c r="M360"/>
    </row>
    <row r="361" spans="1:13" hidden="1" x14ac:dyDescent="0.25">
      <c r="A361"/>
      <c r="B361" s="506" t="s">
        <v>980</v>
      </c>
      <c r="C361" s="182" t="s">
        <v>970</v>
      </c>
      <c r="D361"/>
      <c r="E361"/>
      <c r="F361">
        <v>3.02</v>
      </c>
      <c r="G361"/>
      <c r="H361" s="229">
        <f t="shared" si="14"/>
        <v>3.02</v>
      </c>
      <c r="I361"/>
      <c r="J361"/>
      <c r="K361"/>
      <c r="L361"/>
      <c r="M361"/>
    </row>
    <row r="362" spans="1:13" hidden="1" x14ac:dyDescent="0.25">
      <c r="A362"/>
      <c r="B362" s="506"/>
      <c r="C362" s="66" t="s">
        <v>1027</v>
      </c>
      <c r="D362"/>
      <c r="E362"/>
      <c r="F362">
        <v>0.48</v>
      </c>
      <c r="G362">
        <v>3</v>
      </c>
      <c r="H362" s="229">
        <f>G362*F362</f>
        <v>1.44</v>
      </c>
      <c r="I362"/>
      <c r="J362"/>
      <c r="K362"/>
      <c r="L362"/>
      <c r="M362"/>
    </row>
    <row r="363" spans="1:13" hidden="1" x14ac:dyDescent="0.25">
      <c r="A363"/>
      <c r="B363" s="506"/>
      <c r="C363" s="66" t="s">
        <v>981</v>
      </c>
      <c r="D363"/>
      <c r="E363"/>
      <c r="F363">
        <v>2.83</v>
      </c>
      <c r="G363"/>
      <c r="H363" s="229">
        <f>F363</f>
        <v>2.83</v>
      </c>
      <c r="I363"/>
      <c r="J363"/>
      <c r="K363"/>
      <c r="L363"/>
      <c r="M363"/>
    </row>
    <row r="364" spans="1:13" hidden="1" x14ac:dyDescent="0.25">
      <c r="A364"/>
      <c r="B364" s="506"/>
      <c r="C364" s="66" t="s">
        <v>982</v>
      </c>
      <c r="D364"/>
      <c r="E364"/>
      <c r="F364">
        <v>2.4900000000000002</v>
      </c>
      <c r="G364"/>
      <c r="H364" s="229">
        <f>F364</f>
        <v>2.4900000000000002</v>
      </c>
      <c r="I364"/>
      <c r="J364"/>
      <c r="K364"/>
      <c r="L364"/>
      <c r="M364"/>
    </row>
    <row r="365" spans="1:13" hidden="1" x14ac:dyDescent="0.25">
      <c r="A365"/>
      <c r="B365" s="506"/>
      <c r="C365" s="66" t="s">
        <v>1036</v>
      </c>
      <c r="D365"/>
      <c r="E365"/>
      <c r="F365">
        <f>3.01+1.95</f>
        <v>4.96</v>
      </c>
      <c r="G365"/>
      <c r="H365" s="229">
        <f>F365</f>
        <v>4.96</v>
      </c>
      <c r="I365"/>
      <c r="J365"/>
      <c r="K365"/>
      <c r="L365"/>
      <c r="M365"/>
    </row>
    <row r="366" spans="1:13" hidden="1" x14ac:dyDescent="0.25">
      <c r="A366"/>
      <c r="B366" s="365"/>
      <c r="C366" s="66"/>
      <c r="D366"/>
      <c r="E366"/>
      <c r="F366"/>
      <c r="G366"/>
      <c r="H366" s="229"/>
      <c r="I366"/>
      <c r="J366"/>
      <c r="K366"/>
      <c r="L366"/>
      <c r="M366"/>
    </row>
    <row r="367" spans="1:13" hidden="1" x14ac:dyDescent="0.25">
      <c r="A367"/>
      <c r="B367" s="247"/>
      <c r="C367" s="66"/>
      <c r="D367"/>
      <c r="E367"/>
      <c r="F367"/>
      <c r="G367"/>
      <c r="H367" s="96"/>
      <c r="I367"/>
      <c r="J367"/>
      <c r="K367"/>
      <c r="L367"/>
      <c r="M367"/>
    </row>
    <row r="368" spans="1:13" ht="39.6" x14ac:dyDescent="0.25">
      <c r="A368" s="80" t="s">
        <v>649</v>
      </c>
      <c r="B368" s="81"/>
      <c r="C368" s="82" t="str">
        <f>VLOOKUP(A368,'[2]Orçamento Sintético'!A:J,4,0)</f>
        <v>MONTAGEM E DESMONTAGEM DE FÔRMA DE VIGA, ESCORAMENTO COM GARFO DE MADEIRA, PÉ-DIREITO SIMPLES, EM CHAPA DE MADEIRA PLASTIFICADA, 12 UTILIZAÇÕES. AF_09/2020</v>
      </c>
      <c r="D368" s="81"/>
      <c r="E368" s="81" t="str">
        <f>VLOOKUP(A368,'[2]Orçamento Sintético'!A:J,5,0)</f>
        <v>m²</v>
      </c>
      <c r="F368" s="462" t="s">
        <v>1084</v>
      </c>
      <c r="G368" s="462"/>
      <c r="H368" s="85">
        <f>H374+H375</f>
        <v>182.58500000000001</v>
      </c>
      <c r="I368" s="216"/>
      <c r="J368"/>
      <c r="K368"/>
      <c r="L368"/>
      <c r="M368"/>
    </row>
    <row r="369" spans="1:13" x14ac:dyDescent="0.25">
      <c r="A369" s="65"/>
      <c r="B369" s="65"/>
      <c r="C369" s="66"/>
      <c r="D369" s="67"/>
      <c r="E369" s="67"/>
      <c r="F369" s="463" t="s">
        <v>578</v>
      </c>
      <c r="G369" s="464"/>
      <c r="H369" s="377">
        <v>0</v>
      </c>
      <c r="I369"/>
      <c r="J369"/>
      <c r="K369"/>
      <c r="L369"/>
      <c r="M369"/>
    </row>
    <row r="370" spans="1:13" x14ac:dyDescent="0.25">
      <c r="A370" s="65"/>
      <c r="B370" s="65"/>
      <c r="C370" s="66"/>
      <c r="D370" s="67"/>
      <c r="E370" s="67"/>
      <c r="F370" s="456" t="s">
        <v>579</v>
      </c>
      <c r="G370" s="456"/>
      <c r="H370" s="377">
        <f>VLOOKUP(A368,'[2]Orçamento Sintético'!A:J,6,0)</f>
        <v>453.62</v>
      </c>
      <c r="I370"/>
      <c r="J370"/>
      <c r="K370"/>
      <c r="L370"/>
      <c r="M370"/>
    </row>
    <row r="371" spans="1:13" x14ac:dyDescent="0.25">
      <c r="A371" s="65"/>
      <c r="B371" s="65"/>
      <c r="C371" s="66"/>
      <c r="D371" s="67"/>
      <c r="E371" s="67"/>
      <c r="F371" s="456" t="s">
        <v>596</v>
      </c>
      <c r="G371" s="456"/>
      <c r="H371" s="264">
        <f>H374+H375</f>
        <v>182.58500000000001</v>
      </c>
      <c r="I371"/>
      <c r="J371"/>
      <c r="K371"/>
      <c r="L371"/>
      <c r="M371"/>
    </row>
    <row r="372" spans="1:13" x14ac:dyDescent="0.25">
      <c r="A372" s="65"/>
      <c r="B372" s="65"/>
      <c r="C372" s="66"/>
      <c r="D372" s="67"/>
      <c r="E372" s="67"/>
      <c r="F372" s="457" t="s">
        <v>580</v>
      </c>
      <c r="G372" s="457"/>
      <c r="H372" s="264">
        <f>H370-H371</f>
        <v>271.03499999999997</v>
      </c>
      <c r="I372"/>
      <c r="J372"/>
      <c r="K372"/>
      <c r="L372"/>
      <c r="M372"/>
    </row>
    <row r="373" spans="1:13" x14ac:dyDescent="0.25">
      <c r="A373" s="65"/>
      <c r="B373" s="65"/>
      <c r="C373" s="66"/>
      <c r="D373" s="70" t="s">
        <v>971</v>
      </c>
      <c r="E373" s="70" t="s">
        <v>972</v>
      </c>
      <c r="F373" s="70" t="s">
        <v>973</v>
      </c>
      <c r="G373" s="71" t="s">
        <v>584</v>
      </c>
      <c r="H373" s="378"/>
      <c r="I373"/>
      <c r="J373"/>
      <c r="K373"/>
      <c r="L373"/>
      <c r="M373"/>
    </row>
    <row r="374" spans="1:13" x14ac:dyDescent="0.25">
      <c r="A374" s="65"/>
      <c r="B374" s="544" t="s">
        <v>1085</v>
      </c>
      <c r="C374" s="66" t="s">
        <v>1086</v>
      </c>
      <c r="D374" s="67"/>
      <c r="E374" s="67"/>
      <c r="F374" s="73"/>
      <c r="G374" s="98">
        <f>(113.84+121.33)/2</f>
        <v>117.58500000000001</v>
      </c>
      <c r="H374" s="229">
        <f>G374</f>
        <v>117.58500000000001</v>
      </c>
      <c r="I374"/>
      <c r="J374"/>
      <c r="K374"/>
      <c r="L374"/>
      <c r="M374"/>
    </row>
    <row r="375" spans="1:13" ht="14.25" customHeight="1" x14ac:dyDescent="0.25">
      <c r="A375"/>
      <c r="B375" s="544"/>
      <c r="C375" t="s">
        <v>1087</v>
      </c>
      <c r="D375"/>
      <c r="E375"/>
      <c r="F375"/>
      <c r="G375">
        <v>65</v>
      </c>
      <c r="H375" s="229">
        <f>G375</f>
        <v>65</v>
      </c>
      <c r="I375"/>
      <c r="J375"/>
      <c r="K375"/>
      <c r="L375"/>
      <c r="M375"/>
    </row>
    <row r="376" spans="1:13" ht="14.25" customHeight="1" x14ac:dyDescent="0.25">
      <c r="A376"/>
      <c r="B376" s="247"/>
      <c r="C376" s="66"/>
      <c r="D376"/>
      <c r="E376"/>
      <c r="F376"/>
      <c r="G376"/>
      <c r="H376" s="96"/>
      <c r="I376"/>
      <c r="J376"/>
      <c r="K376"/>
      <c r="L376"/>
      <c r="M376"/>
    </row>
    <row r="377" spans="1:13" ht="14.25" customHeight="1" x14ac:dyDescent="0.25">
      <c r="A377" s="80" t="s">
        <v>650</v>
      </c>
      <c r="B377" s="81"/>
      <c r="C377" s="82" t="str">
        <f>VLOOKUP(A377,'[2]Orçamento Sintético'!A:J,4,0)</f>
        <v>ARMAÇÃO DE PILAR OU VIGA DE ESTRUTURA CONVENCIONAL DE CONCRETO ARMADO UTILIZANDO AÇO CA-50 DE 6,3 MM - MONTAGEM. AF_06/2022</v>
      </c>
      <c r="D377" s="81"/>
      <c r="E377" s="81" t="str">
        <f>VLOOKUP(A377,'[2]Orçamento Sintético'!A:J,5,0)</f>
        <v>KG</v>
      </c>
      <c r="F377" s="462" t="s">
        <v>1084</v>
      </c>
      <c r="G377" s="462"/>
      <c r="H377" s="85">
        <f>H383</f>
        <v>0.73</v>
      </c>
      <c r="I377" s="216"/>
      <c r="J377"/>
      <c r="K377"/>
      <c r="L377"/>
      <c r="M377"/>
    </row>
    <row r="378" spans="1:13" x14ac:dyDescent="0.25">
      <c r="A378" s="65"/>
      <c r="B378" s="65"/>
      <c r="C378" s="66"/>
      <c r="D378" s="67"/>
      <c r="E378" s="67"/>
      <c r="F378" s="463" t="s">
        <v>578</v>
      </c>
      <c r="G378" s="464"/>
      <c r="H378" s="377">
        <v>0</v>
      </c>
      <c r="I378"/>
      <c r="J378"/>
      <c r="K378"/>
      <c r="L378"/>
      <c r="M378"/>
    </row>
    <row r="379" spans="1:13" ht="14.25" customHeight="1" x14ac:dyDescent="0.25">
      <c r="A379" s="65"/>
      <c r="B379" s="65"/>
      <c r="C379" s="66"/>
      <c r="D379" s="67"/>
      <c r="E379" s="67"/>
      <c r="F379" s="456" t="s">
        <v>579</v>
      </c>
      <c r="G379" s="456"/>
      <c r="H379" s="377">
        <f>VLOOKUP(A377,'[2]Orçamento Sintético'!A:J,6,0)</f>
        <v>0.73</v>
      </c>
      <c r="I379"/>
      <c r="J379"/>
      <c r="K379"/>
      <c r="L379"/>
      <c r="M379"/>
    </row>
    <row r="380" spans="1:13" ht="14.25" customHeight="1" x14ac:dyDescent="0.25">
      <c r="A380" s="65"/>
      <c r="B380" s="65"/>
      <c r="C380" s="66"/>
      <c r="D380" s="67"/>
      <c r="E380" s="67"/>
      <c r="F380" s="456" t="s">
        <v>596</v>
      </c>
      <c r="G380" s="456"/>
      <c r="H380" s="264">
        <f>H383</f>
        <v>0.73</v>
      </c>
      <c r="I380"/>
      <c r="J380"/>
      <c r="K380"/>
      <c r="L380"/>
      <c r="M380"/>
    </row>
    <row r="381" spans="1:13" ht="14.25" customHeight="1" x14ac:dyDescent="0.25">
      <c r="A381" s="65"/>
      <c r="B381" s="65"/>
      <c r="C381" s="66"/>
      <c r="D381" s="67"/>
      <c r="E381" s="67"/>
      <c r="F381" s="457" t="s">
        <v>580</v>
      </c>
      <c r="G381" s="457"/>
      <c r="H381" s="264">
        <f>H379-H380</f>
        <v>0</v>
      </c>
      <c r="I381"/>
      <c r="J381"/>
      <c r="K381"/>
      <c r="L381"/>
      <c r="M381"/>
    </row>
    <row r="382" spans="1:13" ht="14.25" customHeight="1" x14ac:dyDescent="0.25">
      <c r="A382" s="65"/>
      <c r="B382" s="65"/>
      <c r="C382" s="66"/>
      <c r="D382" s="70" t="s">
        <v>971</v>
      </c>
      <c r="E382" s="70" t="s">
        <v>972</v>
      </c>
      <c r="F382" s="70" t="s">
        <v>973</v>
      </c>
      <c r="G382" s="71" t="s">
        <v>584</v>
      </c>
      <c r="H382" s="378"/>
      <c r="I382"/>
      <c r="J382"/>
      <c r="K382"/>
      <c r="L382"/>
      <c r="M382"/>
    </row>
    <row r="383" spans="1:13" ht="14.25" customHeight="1" x14ac:dyDescent="0.25">
      <c r="A383" s="65"/>
      <c r="B383" s="365" t="s">
        <v>1085</v>
      </c>
      <c r="C383" s="66" t="s">
        <v>1088</v>
      </c>
      <c r="D383" s="67"/>
      <c r="E383" s="67"/>
      <c r="F383" s="73"/>
      <c r="G383" s="98">
        <v>0.73</v>
      </c>
      <c r="H383" s="229">
        <f>G383</f>
        <v>0.73</v>
      </c>
      <c r="I383"/>
      <c r="J383"/>
      <c r="K383"/>
      <c r="L383"/>
      <c r="M383"/>
    </row>
    <row r="384" spans="1:13" x14ac:dyDescent="0.25">
      <c r="A384"/>
      <c r="B384" s="247"/>
      <c r="C384" s="66"/>
      <c r="D384"/>
      <c r="E384"/>
      <c r="F384"/>
      <c r="G384"/>
      <c r="H384" s="96"/>
      <c r="I384"/>
      <c r="J384"/>
      <c r="K384"/>
      <c r="L384"/>
      <c r="M384"/>
    </row>
    <row r="385" spans="1:13" x14ac:dyDescent="0.25">
      <c r="A385"/>
      <c r="B385" s="247"/>
      <c r="C385" s="66"/>
      <c r="D385"/>
      <c r="E385"/>
      <c r="F385"/>
      <c r="G385"/>
      <c r="H385" s="96"/>
      <c r="I385"/>
      <c r="J385"/>
      <c r="K385"/>
      <c r="L385"/>
      <c r="M385"/>
    </row>
    <row r="386" spans="1:13" ht="39.6" x14ac:dyDescent="0.25">
      <c r="A386" s="80" t="s">
        <v>651</v>
      </c>
      <c r="B386" s="81"/>
      <c r="C386" s="82" t="str">
        <f>VLOOKUP(A386,'[2]Orçamento Sintético'!A:J,4,0)</f>
        <v>ARMAÇÃO DE PILAR OU VIGA DE ESTRUTURA CONVENCIONAL DE CONCRETO ARMADO UTILIZANDO AÇO CA-50 DE 8,0 MM - MONTAGEM. AF_06/2022</v>
      </c>
      <c r="D386" s="81"/>
      <c r="E386" s="81" t="str">
        <f>VLOOKUP(A386,'[2]Orçamento Sintético'!A:J,5,0)</f>
        <v>KG</v>
      </c>
      <c r="F386" s="462" t="s">
        <v>1084</v>
      </c>
      <c r="G386" s="462"/>
      <c r="H386" s="85">
        <f>H392+H393</f>
        <v>359</v>
      </c>
      <c r="I386"/>
      <c r="J386"/>
      <c r="K386"/>
      <c r="L386"/>
      <c r="M386"/>
    </row>
    <row r="387" spans="1:13" x14ac:dyDescent="0.25">
      <c r="A387" s="65"/>
      <c r="B387" s="65"/>
      <c r="C387" s="66"/>
      <c r="D387" s="67"/>
      <c r="E387" s="67"/>
      <c r="F387" s="463" t="s">
        <v>578</v>
      </c>
      <c r="G387" s="464"/>
      <c r="H387" s="377">
        <v>0</v>
      </c>
      <c r="I387"/>
      <c r="J387"/>
      <c r="K387"/>
      <c r="L387"/>
      <c r="M387"/>
    </row>
    <row r="388" spans="1:13" x14ac:dyDescent="0.25">
      <c r="A388" s="65"/>
      <c r="B388" s="65"/>
      <c r="C388" s="66"/>
      <c r="D388" s="67"/>
      <c r="E388" s="67"/>
      <c r="F388" s="456" t="s">
        <v>579</v>
      </c>
      <c r="G388" s="456"/>
      <c r="H388" s="377">
        <f>VLOOKUP(A386,'[2]Orçamento Sintético'!A:J,6,0)</f>
        <v>829.82</v>
      </c>
      <c r="I388"/>
      <c r="J388"/>
      <c r="K388"/>
      <c r="L388"/>
      <c r="M388"/>
    </row>
    <row r="389" spans="1:13" x14ac:dyDescent="0.25">
      <c r="A389" s="65"/>
      <c r="B389" s="65"/>
      <c r="C389" s="66"/>
      <c r="D389" s="67"/>
      <c r="E389" s="67"/>
      <c r="F389" s="456" t="s">
        <v>596</v>
      </c>
      <c r="G389" s="456"/>
      <c r="H389" s="264">
        <f>H392+H393</f>
        <v>359</v>
      </c>
      <c r="I389"/>
      <c r="J389"/>
      <c r="K389"/>
      <c r="L389"/>
      <c r="M389"/>
    </row>
    <row r="390" spans="1:13" x14ac:dyDescent="0.25">
      <c r="A390" s="65"/>
      <c r="B390" s="65"/>
      <c r="C390" s="66"/>
      <c r="D390" s="67"/>
      <c r="E390" s="67"/>
      <c r="F390" s="457" t="s">
        <v>580</v>
      </c>
      <c r="G390" s="457"/>
      <c r="H390" s="264">
        <f>H388-H389</f>
        <v>470.82000000000005</v>
      </c>
      <c r="I390"/>
      <c r="J390"/>
      <c r="K390"/>
      <c r="L390"/>
      <c r="M390"/>
    </row>
    <row r="391" spans="1:13" x14ac:dyDescent="0.25">
      <c r="A391" s="65"/>
      <c r="B391" s="65"/>
      <c r="C391" s="66"/>
      <c r="D391" s="241" t="s">
        <v>1008</v>
      </c>
      <c r="E391" s="241" t="s">
        <v>1009</v>
      </c>
      <c r="F391" s="241" t="s">
        <v>1010</v>
      </c>
      <c r="G391" s="241" t="s">
        <v>1011</v>
      </c>
      <c r="H391" s="378"/>
      <c r="I391"/>
      <c r="J391"/>
      <c r="K391"/>
      <c r="L391"/>
      <c r="M391"/>
    </row>
    <row r="392" spans="1:13" x14ac:dyDescent="0.25">
      <c r="A392" s="65"/>
      <c r="B392" s="544" t="s">
        <v>1085</v>
      </c>
      <c r="C392" s="66" t="s">
        <v>1086</v>
      </c>
      <c r="D392" s="67"/>
      <c r="E392" s="67"/>
      <c r="F392" s="73"/>
      <c r="G392" s="98">
        <f>(224.6+259.8)/2</f>
        <v>242.2</v>
      </c>
      <c r="H392" s="229">
        <f>G392</f>
        <v>242.2</v>
      </c>
      <c r="I392"/>
      <c r="J392"/>
      <c r="K392"/>
      <c r="L392"/>
      <c r="M392"/>
    </row>
    <row r="393" spans="1:13" x14ac:dyDescent="0.25">
      <c r="A393"/>
      <c r="B393" s="544"/>
      <c r="C393" t="s">
        <v>1087</v>
      </c>
      <c r="D393"/>
      <c r="E393"/>
      <c r="F393"/>
      <c r="G393">
        <v>116.8</v>
      </c>
      <c r="H393" s="229">
        <f>G393</f>
        <v>116.8</v>
      </c>
      <c r="I393"/>
      <c r="J393"/>
      <c r="K393"/>
      <c r="L393"/>
      <c r="M393"/>
    </row>
    <row r="394" spans="1:13" x14ac:dyDescent="0.25">
      <c r="A394"/>
      <c r="B394" s="246"/>
      <c r="C394" s="66"/>
      <c r="D394" s="67"/>
      <c r="E394" s="67"/>
      <c r="F394" s="73"/>
      <c r="G394" s="98"/>
      <c r="H394" s="96"/>
      <c r="I394"/>
      <c r="J394"/>
      <c r="K394"/>
      <c r="L394"/>
      <c r="M394"/>
    </row>
    <row r="395" spans="1:13" ht="39.6" x14ac:dyDescent="0.25">
      <c r="A395" s="80" t="s">
        <v>652</v>
      </c>
      <c r="B395" s="81"/>
      <c r="C395" s="82" t="str">
        <f>VLOOKUP(A395,'[2]Orçamento Sintético'!A:J,4,0)</f>
        <v>ARMAÇÃO DE PILAR OU VIGA DE ESTRUTURA CONVENCIONAL DE CONCRETO ARMADO UTILIZANDO AÇO CA-50 DE 10,0 MM - MONTAGEM. AF_06/2022</v>
      </c>
      <c r="D395" s="81"/>
      <c r="E395" s="81" t="str">
        <f>VLOOKUP(A395,'[2]Orçamento Sintético'!A:J,5,0)</f>
        <v>KG</v>
      </c>
      <c r="F395" s="462" t="s">
        <v>1084</v>
      </c>
      <c r="G395" s="462"/>
      <c r="H395" s="85">
        <f>H401</f>
        <v>14.1</v>
      </c>
      <c r="I395"/>
      <c r="J395"/>
      <c r="K395"/>
      <c r="L395"/>
      <c r="M395"/>
    </row>
    <row r="396" spans="1:13" x14ac:dyDescent="0.25">
      <c r="A396" s="65"/>
      <c r="B396" s="65"/>
      <c r="C396" s="66"/>
      <c r="D396" s="67"/>
      <c r="E396" s="67"/>
      <c r="F396" s="463" t="s">
        <v>578</v>
      </c>
      <c r="G396" s="464"/>
      <c r="H396" s="377"/>
      <c r="I396"/>
      <c r="J396"/>
      <c r="K396"/>
      <c r="L396"/>
      <c r="M396"/>
    </row>
    <row r="397" spans="1:13" x14ac:dyDescent="0.25">
      <c r="A397" s="65"/>
      <c r="B397" s="65"/>
      <c r="C397" s="66"/>
      <c r="D397" s="67"/>
      <c r="E397" s="67"/>
      <c r="F397" s="456" t="s">
        <v>579</v>
      </c>
      <c r="G397" s="456"/>
      <c r="H397" s="377">
        <f>VLOOKUP(A395,'[2]Orçamento Sintético'!A:J,6,0)</f>
        <v>100.82</v>
      </c>
      <c r="I397"/>
      <c r="J397"/>
      <c r="K397"/>
      <c r="L397"/>
      <c r="M397"/>
    </row>
    <row r="398" spans="1:13" x14ac:dyDescent="0.25">
      <c r="A398" s="65"/>
      <c r="B398" s="65"/>
      <c r="C398" s="66"/>
      <c r="D398" s="67"/>
      <c r="E398" s="67"/>
      <c r="F398" s="456" t="s">
        <v>596</v>
      </c>
      <c r="G398" s="456"/>
      <c r="H398" s="264">
        <f>H401</f>
        <v>14.1</v>
      </c>
      <c r="I398"/>
      <c r="J398"/>
      <c r="K398"/>
      <c r="L398"/>
      <c r="M398"/>
    </row>
    <row r="399" spans="1:13" x14ac:dyDescent="0.25">
      <c r="A399" s="65"/>
      <c r="B399" s="65"/>
      <c r="C399" s="66"/>
      <c r="D399" s="67"/>
      <c r="E399" s="67"/>
      <c r="F399" s="457" t="s">
        <v>580</v>
      </c>
      <c r="G399" s="457"/>
      <c r="H399" s="264">
        <f>H397-H398</f>
        <v>86.72</v>
      </c>
      <c r="I399"/>
      <c r="J399"/>
      <c r="K399"/>
      <c r="L399"/>
      <c r="M399"/>
    </row>
    <row r="400" spans="1:13" x14ac:dyDescent="0.25">
      <c r="A400" s="65"/>
      <c r="B400" s="65"/>
      <c r="C400" s="66"/>
      <c r="D400" s="241" t="s">
        <v>1008</v>
      </c>
      <c r="E400" s="241" t="s">
        <v>1009</v>
      </c>
      <c r="F400" s="241" t="s">
        <v>1010</v>
      </c>
      <c r="G400" s="241" t="s">
        <v>1011</v>
      </c>
      <c r="H400" s="378"/>
      <c r="I400"/>
      <c r="J400"/>
      <c r="K400"/>
      <c r="L400"/>
      <c r="M400"/>
    </row>
    <row r="401" spans="1:13" x14ac:dyDescent="0.25">
      <c r="A401"/>
      <c r="B401" s="544" t="s">
        <v>1085</v>
      </c>
      <c r="C401" t="s">
        <v>1087</v>
      </c>
      <c r="D401"/>
      <c r="E401"/>
      <c r="F401"/>
      <c r="G401">
        <v>14.1</v>
      </c>
      <c r="H401" s="229">
        <f>G401</f>
        <v>14.1</v>
      </c>
      <c r="I401"/>
      <c r="J401"/>
      <c r="K401"/>
      <c r="L401"/>
      <c r="M401"/>
    </row>
    <row r="402" spans="1:13" x14ac:dyDescent="0.25">
      <c r="A402"/>
      <c r="B402" s="544"/>
      <c r="C402" s="66"/>
      <c r="D402"/>
      <c r="E402"/>
      <c r="F402"/>
      <c r="G402"/>
      <c r="H402" s="96"/>
      <c r="I402"/>
      <c r="J402"/>
      <c r="K402"/>
      <c r="L402"/>
      <c r="M402"/>
    </row>
    <row r="403" spans="1:13" ht="39.6" x14ac:dyDescent="0.25">
      <c r="A403" s="80" t="s">
        <v>653</v>
      </c>
      <c r="B403" s="81"/>
      <c r="C403" s="82" t="str">
        <f>VLOOKUP(A403,'[2]Orçamento Sintético'!A:J,4,0)</f>
        <v>ARMAÇÃO DE PILAR OU VIGA DE ESTRUTURA CONVENCIONAL DE CONCRETO ARMADO UTILIZANDO AÇO CA-60 DE 5,0 MM - MONTAGEM. AF_06/2022</v>
      </c>
      <c r="D403" s="81"/>
      <c r="E403" s="81" t="str">
        <f>VLOOKUP(A403,'[2]Orçamento Sintético'!A:J,5,0)</f>
        <v>KG</v>
      </c>
      <c r="F403" s="462" t="s">
        <v>1084</v>
      </c>
      <c r="G403" s="462"/>
      <c r="H403" s="85">
        <f>H409+H410</f>
        <v>150.05000000000001</v>
      </c>
      <c r="I403"/>
      <c r="J403"/>
      <c r="K403"/>
      <c r="L403"/>
      <c r="M403"/>
    </row>
    <row r="404" spans="1:13" x14ac:dyDescent="0.25">
      <c r="A404" s="65"/>
      <c r="B404" s="65"/>
      <c r="C404" s="66"/>
      <c r="D404" s="67"/>
      <c r="E404" s="67"/>
      <c r="F404" s="463" t="s">
        <v>578</v>
      </c>
      <c r="G404" s="464"/>
      <c r="H404" s="377">
        <v>0</v>
      </c>
      <c r="I404"/>
      <c r="J404"/>
      <c r="K404"/>
      <c r="L404"/>
      <c r="M404"/>
    </row>
    <row r="405" spans="1:13" x14ac:dyDescent="0.25">
      <c r="A405" s="65"/>
      <c r="B405" s="65"/>
      <c r="C405" s="66"/>
      <c r="D405" s="67"/>
      <c r="E405" s="67"/>
      <c r="F405" s="456" t="s">
        <v>579</v>
      </c>
      <c r="G405" s="456"/>
      <c r="H405" s="377">
        <f>VLOOKUP(A403,'[2]Orçamento Sintético'!A:J,6,0)</f>
        <v>379</v>
      </c>
      <c r="I405"/>
      <c r="J405"/>
      <c r="K405"/>
      <c r="L405"/>
      <c r="M405"/>
    </row>
    <row r="406" spans="1:13" x14ac:dyDescent="0.25">
      <c r="A406" s="65"/>
      <c r="B406" s="65"/>
      <c r="C406" s="66"/>
      <c r="D406" s="67"/>
      <c r="E406" s="67"/>
      <c r="F406" s="456" t="s">
        <v>596</v>
      </c>
      <c r="G406" s="456"/>
      <c r="H406" s="264">
        <f>H409+H410</f>
        <v>150.05000000000001</v>
      </c>
      <c r="I406"/>
      <c r="J406"/>
      <c r="K406"/>
      <c r="L406"/>
      <c r="M406"/>
    </row>
    <row r="407" spans="1:13" x14ac:dyDescent="0.25">
      <c r="A407" s="65"/>
      <c r="B407" s="65"/>
      <c r="C407" s="66"/>
      <c r="D407" s="67"/>
      <c r="E407" s="67"/>
      <c r="F407" s="457" t="s">
        <v>580</v>
      </c>
      <c r="G407" s="457"/>
      <c r="H407" s="264">
        <f>H405-H406</f>
        <v>228.95</v>
      </c>
      <c r="I407"/>
      <c r="J407"/>
      <c r="K407"/>
      <c r="L407"/>
      <c r="M407"/>
    </row>
    <row r="408" spans="1:13" x14ac:dyDescent="0.25">
      <c r="A408" s="65"/>
      <c r="B408" s="65"/>
      <c r="C408" s="66"/>
      <c r="D408" s="241" t="s">
        <v>1008</v>
      </c>
      <c r="E408" s="241" t="s">
        <v>1009</v>
      </c>
      <c r="F408" s="241" t="s">
        <v>1010</v>
      </c>
      <c r="G408" s="241" t="s">
        <v>1011</v>
      </c>
      <c r="H408" s="378"/>
      <c r="I408"/>
      <c r="J408"/>
      <c r="K408"/>
      <c r="L408"/>
      <c r="M408"/>
    </row>
    <row r="409" spans="1:13" x14ac:dyDescent="0.25">
      <c r="A409" s="65"/>
      <c r="B409" s="544" t="s">
        <v>1085</v>
      </c>
      <c r="C409" s="66" t="s">
        <v>1086</v>
      </c>
      <c r="D409" s="67"/>
      <c r="E409" s="67"/>
      <c r="F409" s="73"/>
      <c r="G409" s="98">
        <f>(84.2+93.7)/2</f>
        <v>88.95</v>
      </c>
      <c r="H409" s="229">
        <f>G409</f>
        <v>88.95</v>
      </c>
      <c r="I409"/>
      <c r="J409"/>
      <c r="K409"/>
      <c r="L409"/>
      <c r="M409"/>
    </row>
    <row r="410" spans="1:13" x14ac:dyDescent="0.25">
      <c r="A410"/>
      <c r="B410" s="544"/>
      <c r="C410" t="s">
        <v>1087</v>
      </c>
      <c r="D410"/>
      <c r="E410"/>
      <c r="F410"/>
      <c r="G410">
        <v>61.1</v>
      </c>
      <c r="H410" s="229">
        <f>G410</f>
        <v>61.1</v>
      </c>
      <c r="I410"/>
      <c r="J410"/>
      <c r="K410"/>
      <c r="L410"/>
      <c r="M410"/>
    </row>
    <row r="411" spans="1:13" x14ac:dyDescent="0.25">
      <c r="A411"/>
      <c r="B411" s="247"/>
      <c r="C411" s="66"/>
      <c r="D411"/>
      <c r="E411"/>
      <c r="F411"/>
      <c r="G411"/>
      <c r="H411" s="96"/>
      <c r="I411"/>
      <c r="J411"/>
      <c r="K411"/>
      <c r="L411"/>
      <c r="M411"/>
    </row>
    <row r="412" spans="1:13" ht="14.25" customHeight="1" x14ac:dyDescent="0.25">
      <c r="A412"/>
      <c r="B412" s="247"/>
      <c r="C412" s="66"/>
      <c r="D412"/>
      <c r="E412"/>
      <c r="F412"/>
      <c r="G412"/>
      <c r="H412" s="96"/>
      <c r="I412"/>
      <c r="J412"/>
      <c r="K412"/>
      <c r="L412"/>
      <c r="M412"/>
    </row>
    <row r="413" spans="1:13" ht="14.25" customHeight="1" x14ac:dyDescent="0.25">
      <c r="A413" s="80" t="s">
        <v>654</v>
      </c>
      <c r="B413" s="81"/>
      <c r="C413" s="82" t="str">
        <f>VLOOKUP(A413,'[2]Orçamento Sintético'!A:J,4,0)</f>
        <v>CONCRETAGEM DE VIGAS E LAJES, FCK=25 MPA, PARA LAJES MACIÇAS OU NERVURADAS COM USO DE BOMBA - LANÇAMENTO, ADENSAMENTO E ACABAMENTO. AF_02/2022_PS</v>
      </c>
      <c r="D413" s="81"/>
      <c r="E413" s="81" t="str">
        <f>VLOOKUP(A413,'[2]Orçamento Sintético'!A:J,5,0)</f>
        <v>m³</v>
      </c>
      <c r="F413" s="462" t="s">
        <v>1084</v>
      </c>
      <c r="G413" s="462"/>
      <c r="H413" s="85">
        <f>H419+H420</f>
        <v>10.185</v>
      </c>
      <c r="I413"/>
      <c r="J413"/>
      <c r="K413"/>
      <c r="L413"/>
      <c r="M413"/>
    </row>
    <row r="414" spans="1:13" ht="14.25" customHeight="1" x14ac:dyDescent="0.25">
      <c r="A414" s="65"/>
      <c r="B414" s="65"/>
      <c r="C414" s="66"/>
      <c r="D414" s="67"/>
      <c r="E414" s="67"/>
      <c r="F414" s="463" t="s">
        <v>578</v>
      </c>
      <c r="G414" s="464"/>
      <c r="H414" s="377">
        <v>0</v>
      </c>
      <c r="I414"/>
      <c r="J414"/>
      <c r="K414"/>
      <c r="L414"/>
      <c r="M414"/>
    </row>
    <row r="415" spans="1:13" ht="14.25" customHeight="1" x14ac:dyDescent="0.25">
      <c r="A415" s="65"/>
      <c r="B415" s="65"/>
      <c r="C415" s="66"/>
      <c r="D415" s="67"/>
      <c r="E415" s="67"/>
      <c r="F415" s="456" t="s">
        <v>579</v>
      </c>
      <c r="G415" s="456"/>
      <c r="H415" s="377">
        <f>VLOOKUP(A413,'[2]Orçamento Sintético'!A:J,6,0)</f>
        <v>27.81</v>
      </c>
      <c r="I415"/>
      <c r="J415"/>
      <c r="K415"/>
      <c r="L415"/>
      <c r="M415"/>
    </row>
    <row r="416" spans="1:13" ht="14.25" customHeight="1" x14ac:dyDescent="0.25">
      <c r="A416" s="65"/>
      <c r="B416" s="65"/>
      <c r="C416" s="66"/>
      <c r="D416" s="67"/>
      <c r="E416" s="67"/>
      <c r="F416" s="456" t="s">
        <v>596</v>
      </c>
      <c r="G416" s="456"/>
      <c r="H416" s="264">
        <f>H419+H420</f>
        <v>10.185</v>
      </c>
      <c r="I416"/>
      <c r="J416"/>
      <c r="K416"/>
      <c r="L416"/>
      <c r="M416"/>
    </row>
    <row r="417" spans="1:18" ht="14.25" customHeight="1" x14ac:dyDescent="0.25">
      <c r="A417" s="65"/>
      <c r="B417" s="65"/>
      <c r="C417" s="66"/>
      <c r="D417" s="67"/>
      <c r="E417" s="67"/>
      <c r="F417" s="457" t="s">
        <v>580</v>
      </c>
      <c r="G417" s="457"/>
      <c r="H417" s="264">
        <f>H415-H416</f>
        <v>17.625</v>
      </c>
      <c r="I417"/>
      <c r="J417"/>
      <c r="K417"/>
      <c r="L417"/>
      <c r="M417"/>
    </row>
    <row r="418" spans="1:18" ht="14.25" customHeight="1" x14ac:dyDescent="0.25">
      <c r="A418" s="65"/>
      <c r="B418" s="65"/>
      <c r="C418" s="66"/>
      <c r="D418" s="241" t="s">
        <v>1008</v>
      </c>
      <c r="E418" s="241" t="s">
        <v>1009</v>
      </c>
      <c r="F418" s="241" t="s">
        <v>1010</v>
      </c>
      <c r="G418" s="241" t="s">
        <v>1011</v>
      </c>
      <c r="H418" s="378"/>
      <c r="I418"/>
      <c r="J418"/>
      <c r="K418"/>
      <c r="L418"/>
      <c r="M418"/>
    </row>
    <row r="419" spans="1:18" ht="14.25" customHeight="1" x14ac:dyDescent="0.25">
      <c r="A419" s="65"/>
      <c r="B419" s="544" t="s">
        <v>1085</v>
      </c>
      <c r="C419" s="66" t="s">
        <v>1086</v>
      </c>
      <c r="D419" s="67"/>
      <c r="E419" s="67"/>
      <c r="F419" s="73"/>
      <c r="G419" s="98">
        <f>(6.84+6.89)/2</f>
        <v>6.8650000000000002</v>
      </c>
      <c r="H419" s="229">
        <f>G419</f>
        <v>6.8650000000000002</v>
      </c>
      <c r="I419"/>
      <c r="J419"/>
      <c r="K419"/>
      <c r="L419"/>
      <c r="M419"/>
    </row>
    <row r="420" spans="1:18" ht="37.5" customHeight="1" x14ac:dyDescent="0.25">
      <c r="A420"/>
      <c r="B420" s="544"/>
      <c r="C420" t="s">
        <v>1087</v>
      </c>
      <c r="D420"/>
      <c r="E420"/>
      <c r="F420"/>
      <c r="G420">
        <v>3.32</v>
      </c>
      <c r="H420" s="229">
        <f>G420</f>
        <v>3.32</v>
      </c>
      <c r="I420"/>
      <c r="J420"/>
      <c r="K420"/>
      <c r="L420"/>
      <c r="M420"/>
    </row>
    <row r="421" spans="1:18" ht="14.25" customHeight="1" x14ac:dyDescent="0.25">
      <c r="A421"/>
      <c r="B421" s="247"/>
      <c r="C421" s="66"/>
      <c r="D421"/>
      <c r="E421"/>
      <c r="F421"/>
      <c r="G421"/>
      <c r="H421" s="96"/>
      <c r="I421"/>
      <c r="J421"/>
      <c r="K421"/>
      <c r="L421"/>
      <c r="M421"/>
    </row>
    <row r="422" spans="1:18" ht="39.6" x14ac:dyDescent="0.25">
      <c r="A422" s="80" t="s">
        <v>655</v>
      </c>
      <c r="B422" s="81"/>
      <c r="C422" s="82" t="str">
        <f>VLOOKUP(A422,'[2]Orçamento Sintético'!A:J,4,0)</f>
        <v>MONTAGEM E DESMONTAGEM DE FÔRMA DE PILARES RETANGULARES E ESTRUTURAS SIMILARES, PÉ-DIREITO SIMPLES, EM CHAPA DE MADEIRA COMPENSADA PLASTIFICADA, 12 UTILIZAÇÕES. AF_09/2020</v>
      </c>
      <c r="D422" s="81"/>
      <c r="E422" s="81" t="str">
        <f>VLOOKUP(A422,'[2]Orçamento Sintético'!A:J,5,0)</f>
        <v>m²</v>
      </c>
      <c r="F422" s="462" t="s">
        <v>1084</v>
      </c>
      <c r="G422" s="462"/>
      <c r="H422" s="85">
        <f>H430+H431+H432</f>
        <v>170.72</v>
      </c>
      <c r="I422" s="216"/>
      <c r="J422"/>
      <c r="K422"/>
      <c r="L422"/>
      <c r="M422"/>
    </row>
    <row r="423" spans="1:18" x14ac:dyDescent="0.25">
      <c r="A423" s="65"/>
      <c r="B423" s="65"/>
      <c r="C423" s="66"/>
      <c r="D423" s="67"/>
      <c r="E423" s="67"/>
      <c r="F423" s="463" t="s">
        <v>578</v>
      </c>
      <c r="G423" s="464"/>
      <c r="H423" s="377">
        <f>H429</f>
        <v>67.38</v>
      </c>
      <c r="I423"/>
      <c r="J423"/>
      <c r="K423"/>
      <c r="L423"/>
      <c r="M423"/>
    </row>
    <row r="424" spans="1:18" x14ac:dyDescent="0.25">
      <c r="A424" s="65"/>
      <c r="B424" s="65"/>
      <c r="C424" s="66"/>
      <c r="D424" s="67"/>
      <c r="E424" s="67"/>
      <c r="F424" s="509" t="s">
        <v>579</v>
      </c>
      <c r="G424" s="510"/>
      <c r="H424" s="377">
        <f>VLOOKUP(A422,'[2]Orçamento Sintético'!A:J,6,0)</f>
        <v>319.27</v>
      </c>
      <c r="I424"/>
      <c r="J424"/>
      <c r="K424"/>
      <c r="L424"/>
      <c r="M424"/>
    </row>
    <row r="425" spans="1:18" x14ac:dyDescent="0.25">
      <c r="A425" s="65"/>
      <c r="B425" s="65"/>
      <c r="C425" s="66"/>
      <c r="D425" s="67"/>
      <c r="E425" s="67"/>
      <c r="F425" s="456" t="s">
        <v>596</v>
      </c>
      <c r="G425" s="456"/>
      <c r="H425" s="264">
        <f>SUM(H430:H432)</f>
        <v>170.72</v>
      </c>
      <c r="I425"/>
      <c r="J425"/>
      <c r="K425"/>
      <c r="L425"/>
      <c r="M425"/>
    </row>
    <row r="426" spans="1:18" ht="15" customHeight="1" x14ac:dyDescent="0.25">
      <c r="A426" s="65"/>
      <c r="B426" s="65"/>
      <c r="C426" s="66"/>
      <c r="D426" s="67"/>
      <c r="E426" s="67"/>
      <c r="F426" s="457" t="s">
        <v>580</v>
      </c>
      <c r="G426" s="457"/>
      <c r="H426" s="264">
        <f>H424-(H423+H425)</f>
        <v>81.169999999999987</v>
      </c>
      <c r="I426"/>
      <c r="J426"/>
      <c r="K426"/>
      <c r="L426"/>
      <c r="M426"/>
    </row>
    <row r="427" spans="1:18" ht="14.25" customHeight="1" x14ac:dyDescent="0.25">
      <c r="A427" s="65"/>
      <c r="B427" s="65"/>
      <c r="C427" s="66"/>
      <c r="D427" s="70" t="s">
        <v>971</v>
      </c>
      <c r="E427" s="70" t="s">
        <v>972</v>
      </c>
      <c r="F427" s="70" t="s">
        <v>976</v>
      </c>
      <c r="G427" s="71" t="s">
        <v>1037</v>
      </c>
      <c r="H427" s="378"/>
      <c r="I427"/>
      <c r="J427"/>
      <c r="K427"/>
      <c r="L427"/>
      <c r="M427"/>
    </row>
    <row r="428" spans="1:18" ht="14.25" customHeight="1" x14ac:dyDescent="0.25">
      <c r="A428"/>
      <c r="B428"/>
      <c r="C428"/>
      <c r="D428"/>
      <c r="E428"/>
      <c r="F428"/>
      <c r="G428"/>
      <c r="H428" s="379"/>
      <c r="I428"/>
      <c r="J428"/>
      <c r="K428"/>
      <c r="L428"/>
      <c r="M428"/>
    </row>
    <row r="429" spans="1:18" ht="14.25" hidden="1" customHeight="1" x14ac:dyDescent="0.25">
      <c r="A429"/>
      <c r="B429" s="239" t="s">
        <v>980</v>
      </c>
      <c r="C429" s="182" t="s">
        <v>1077</v>
      </c>
      <c r="D429"/>
      <c r="E429"/>
      <c r="F429"/>
      <c r="G429" s="182">
        <v>67.38</v>
      </c>
      <c r="H429" s="379">
        <f>G429</f>
        <v>67.38</v>
      </c>
      <c r="I429"/>
      <c r="J429"/>
      <c r="K429"/>
      <c r="L429"/>
      <c r="M429"/>
    </row>
    <row r="430" spans="1:18" ht="14.25" customHeight="1" x14ac:dyDescent="0.25">
      <c r="A430"/>
      <c r="B430" s="544" t="s">
        <v>1085</v>
      </c>
      <c r="C430" s="182" t="s">
        <v>1089</v>
      </c>
      <c r="D430"/>
      <c r="E430"/>
      <c r="F430"/>
      <c r="G430">
        <f>167.88-67.38</f>
        <v>100.5</v>
      </c>
      <c r="H430" s="379">
        <f>G430</f>
        <v>100.5</v>
      </c>
      <c r="I430"/>
      <c r="J430"/>
      <c r="K430"/>
      <c r="L430"/>
      <c r="M430"/>
    </row>
    <row r="431" spans="1:18" ht="14.25" customHeight="1" x14ac:dyDescent="0.25">
      <c r="A431"/>
      <c r="B431" s="544"/>
      <c r="C431" t="s">
        <v>1090</v>
      </c>
      <c r="D431"/>
      <c r="E431"/>
      <c r="F431"/>
      <c r="G431">
        <v>35.22</v>
      </c>
      <c r="H431" s="379">
        <f>G431</f>
        <v>35.22</v>
      </c>
      <c r="I431"/>
      <c r="J431"/>
      <c r="K431"/>
      <c r="L431"/>
      <c r="M431"/>
    </row>
    <row r="432" spans="1:18" x14ac:dyDescent="0.25">
      <c r="A432"/>
      <c r="B432" s="544"/>
      <c r="C432" t="s">
        <v>1091</v>
      </c>
      <c r="D432"/>
      <c r="E432"/>
      <c r="F432"/>
      <c r="G432">
        <v>35</v>
      </c>
      <c r="H432" s="379">
        <f>G432</f>
        <v>35</v>
      </c>
      <c r="I432"/>
      <c r="J432"/>
      <c r="K432"/>
      <c r="L432"/>
      <c r="M432"/>
      <c r="R432" s="363">
        <f>1872/2</f>
        <v>936</v>
      </c>
    </row>
    <row r="433" spans="1:13" x14ac:dyDescent="0.25">
      <c r="A433"/>
      <c r="B433" s="246"/>
      <c r="C433"/>
      <c r="D433"/>
      <c r="E433"/>
      <c r="F433"/>
      <c r="G433"/>
      <c r="H433" s="379"/>
      <c r="I433"/>
      <c r="J433"/>
      <c r="K433"/>
      <c r="L433"/>
      <c r="M433"/>
    </row>
    <row r="434" spans="1:13" x14ac:dyDescent="0.25">
      <c r="A434"/>
      <c r="B434" s="246"/>
      <c r="C434"/>
      <c r="D434"/>
      <c r="E434"/>
      <c r="F434"/>
      <c r="G434"/>
      <c r="H434"/>
      <c r="I434"/>
      <c r="J434"/>
      <c r="K434"/>
      <c r="L434"/>
      <c r="M434"/>
    </row>
    <row r="435" spans="1:13" x14ac:dyDescent="0.25">
      <c r="A435"/>
      <c r="B435" s="246"/>
      <c r="C435"/>
      <c r="D435"/>
      <c r="E435"/>
      <c r="F435"/>
      <c r="G435"/>
      <c r="H435"/>
      <c r="I435"/>
      <c r="J435"/>
      <c r="K435"/>
      <c r="L435"/>
      <c r="M435"/>
    </row>
    <row r="436" spans="1:13" x14ac:dyDescent="0.25">
      <c r="A436"/>
      <c r="B436"/>
      <c r="C436"/>
      <c r="D436"/>
      <c r="E436"/>
      <c r="F436"/>
      <c r="G436"/>
      <c r="H436"/>
      <c r="I436"/>
      <c r="J436"/>
      <c r="K436"/>
      <c r="L436"/>
      <c r="M436"/>
    </row>
    <row r="437" spans="1:13" ht="39.6" x14ac:dyDescent="0.25">
      <c r="A437" s="80" t="s">
        <v>656</v>
      </c>
      <c r="B437" s="81"/>
      <c r="C437" s="82" t="str">
        <f>VLOOKUP(A437,'[2]Orçamento Sintético'!A:J,4,0)</f>
        <v>ARMAÇÃO DE ESTRUTURAS DIVERSAS DE CONCRETO ARMADO, EXCETO VIGAS, PILARES, LAJES E FUNDAÇÕES, UTILIZANDO AÇO CA-50 DE 10,0 MM - MONTAGEM. AF_06/2022</v>
      </c>
      <c r="D437" s="81"/>
      <c r="E437" s="81" t="str">
        <f>VLOOKUP(A437,'[2]Orçamento Sintético'!A:J,5,0)</f>
        <v>KG</v>
      </c>
      <c r="F437" s="462" t="s">
        <v>1084</v>
      </c>
      <c r="G437" s="462"/>
      <c r="H437" s="85">
        <f>H452+H451+H450+H449</f>
        <v>422.25830000000008</v>
      </c>
      <c r="I437" s="216"/>
      <c r="J437"/>
      <c r="K437"/>
      <c r="L437"/>
      <c r="M437"/>
    </row>
    <row r="438" spans="1:13" x14ac:dyDescent="0.25">
      <c r="A438" s="65"/>
      <c r="B438" s="65"/>
      <c r="C438" s="66"/>
      <c r="D438" s="67"/>
      <c r="E438" s="67"/>
      <c r="F438" s="463" t="s">
        <v>578</v>
      </c>
      <c r="G438" s="464"/>
      <c r="H438" s="377">
        <f>H448+H447+H446+H445+H444+H443</f>
        <v>414.99419999999998</v>
      </c>
      <c r="I438"/>
      <c r="J438"/>
      <c r="K438"/>
      <c r="L438"/>
      <c r="M438"/>
    </row>
    <row r="439" spans="1:13" x14ac:dyDescent="0.25">
      <c r="A439" s="65"/>
      <c r="B439" s="65"/>
      <c r="C439" s="66"/>
      <c r="D439" s="67"/>
      <c r="E439" s="67"/>
      <c r="F439" s="456" t="s">
        <v>579</v>
      </c>
      <c r="G439" s="456"/>
      <c r="H439" s="377">
        <f>VLOOKUP(A437,'[2]Orçamento Sintético'!A:J,6,0)</f>
        <v>1063.9100000000001</v>
      </c>
      <c r="I439"/>
      <c r="J439"/>
      <c r="K439"/>
      <c r="L439"/>
      <c r="M439"/>
    </row>
    <row r="440" spans="1:13" x14ac:dyDescent="0.25">
      <c r="A440" s="65"/>
      <c r="B440" s="65"/>
      <c r="C440" s="66"/>
      <c r="D440" s="67"/>
      <c r="E440" s="67"/>
      <c r="F440" s="456" t="s">
        <v>596</v>
      </c>
      <c r="G440" s="456"/>
      <c r="H440" s="264">
        <f>H449+H450+H451+H452</f>
        <v>422.25830000000008</v>
      </c>
      <c r="I440"/>
      <c r="J440"/>
      <c r="K440"/>
      <c r="L440"/>
      <c r="M440"/>
    </row>
    <row r="441" spans="1:13" x14ac:dyDescent="0.25">
      <c r="A441" s="65"/>
      <c r="B441" s="65"/>
      <c r="C441" s="66"/>
      <c r="D441" s="67"/>
      <c r="E441" s="67"/>
      <c r="F441" s="457" t="s">
        <v>580</v>
      </c>
      <c r="G441" s="457"/>
      <c r="H441" s="264">
        <f>H439-(H438+H440)</f>
        <v>226.65750000000003</v>
      </c>
      <c r="I441"/>
      <c r="J441"/>
      <c r="K441"/>
      <c r="L441"/>
      <c r="M441"/>
    </row>
    <row r="442" spans="1:13" x14ac:dyDescent="0.25">
      <c r="A442" s="65"/>
      <c r="B442" s="65"/>
      <c r="C442" s="66"/>
      <c r="D442" s="241" t="s">
        <v>1008</v>
      </c>
      <c r="E442" s="241" t="s">
        <v>1009</v>
      </c>
      <c r="F442" s="241" t="s">
        <v>1010</v>
      </c>
      <c r="G442" s="241" t="s">
        <v>1011</v>
      </c>
      <c r="H442" s="378"/>
      <c r="I442"/>
      <c r="J442"/>
      <c r="K442"/>
      <c r="L442"/>
      <c r="M442"/>
    </row>
    <row r="443" spans="1:13" hidden="1" x14ac:dyDescent="0.25">
      <c r="A443"/>
      <c r="B443" s="506" t="s">
        <v>980</v>
      </c>
      <c r="C443" s="182" t="s">
        <v>1038</v>
      </c>
      <c r="D443">
        <v>2.95</v>
      </c>
      <c r="E443">
        <v>6</v>
      </c>
      <c r="F443">
        <v>0.61699999999999999</v>
      </c>
      <c r="G443">
        <v>18</v>
      </c>
      <c r="H443" s="379">
        <f>G443*F443*E443*D443</f>
        <v>196.5762</v>
      </c>
      <c r="I443"/>
      <c r="J443"/>
      <c r="K443"/>
      <c r="L443"/>
      <c r="M443"/>
    </row>
    <row r="444" spans="1:13" hidden="1" x14ac:dyDescent="0.25">
      <c r="A444"/>
      <c r="B444" s="506"/>
      <c r="C444" s="182" t="s">
        <v>1039</v>
      </c>
      <c r="D444">
        <v>2.95</v>
      </c>
      <c r="E444">
        <v>4</v>
      </c>
      <c r="F444">
        <v>0.61699999999999999</v>
      </c>
      <c r="G444">
        <v>7</v>
      </c>
      <c r="H444" s="379">
        <f t="shared" ref="H444:H450" si="15">G444*F444*E444*D444</f>
        <v>50.964200000000005</v>
      </c>
      <c r="I444"/>
      <c r="J444"/>
      <c r="K444"/>
      <c r="L444"/>
      <c r="M444"/>
    </row>
    <row r="445" spans="1:13" hidden="1" x14ac:dyDescent="0.25">
      <c r="A445"/>
      <c r="B445" s="506"/>
      <c r="C445" s="182" t="s">
        <v>1040</v>
      </c>
      <c r="D445">
        <v>2.95</v>
      </c>
      <c r="E445">
        <v>6</v>
      </c>
      <c r="F445">
        <v>0.61699999999999999</v>
      </c>
      <c r="G445">
        <v>7</v>
      </c>
      <c r="H445" s="379">
        <f t="shared" si="15"/>
        <v>76.446300000000008</v>
      </c>
      <c r="I445"/>
      <c r="J445"/>
      <c r="K445"/>
      <c r="L445"/>
      <c r="M445"/>
    </row>
    <row r="446" spans="1:13" hidden="1" x14ac:dyDescent="0.25">
      <c r="A446"/>
      <c r="B446" s="506"/>
      <c r="C446" s="182" t="s">
        <v>1041</v>
      </c>
      <c r="D446">
        <v>2.95</v>
      </c>
      <c r="E446">
        <v>4</v>
      </c>
      <c r="F446">
        <v>0.61699999999999999</v>
      </c>
      <c r="G446">
        <v>3</v>
      </c>
      <c r="H446" s="379">
        <f t="shared" si="15"/>
        <v>21.841800000000003</v>
      </c>
      <c r="I446"/>
      <c r="J446"/>
      <c r="K446"/>
      <c r="L446"/>
      <c r="M446"/>
    </row>
    <row r="447" spans="1:13" ht="37.5" hidden="1" customHeight="1" x14ac:dyDescent="0.25">
      <c r="A447"/>
      <c r="B447" s="506"/>
      <c r="C447" s="182" t="s">
        <v>1042</v>
      </c>
      <c r="D447">
        <v>2.95</v>
      </c>
      <c r="E447">
        <v>6</v>
      </c>
      <c r="F447">
        <v>0.61699999999999999</v>
      </c>
      <c r="G447">
        <v>5</v>
      </c>
      <c r="H447" s="379">
        <f t="shared" si="15"/>
        <v>54.604499999999994</v>
      </c>
      <c r="I447"/>
      <c r="J447"/>
      <c r="K447"/>
      <c r="L447"/>
      <c r="M447"/>
    </row>
    <row r="448" spans="1:13" hidden="1" x14ac:dyDescent="0.25">
      <c r="A448"/>
      <c r="B448" s="506"/>
      <c r="C448" s="182" t="s">
        <v>1043</v>
      </c>
      <c r="D448">
        <v>2.95</v>
      </c>
      <c r="E448">
        <v>4</v>
      </c>
      <c r="F448">
        <v>0.61699999999999999</v>
      </c>
      <c r="G448">
        <v>2</v>
      </c>
      <c r="H448" s="379">
        <f t="shared" si="15"/>
        <v>14.561200000000001</v>
      </c>
      <c r="I448"/>
      <c r="J448"/>
      <c r="K448"/>
      <c r="L448"/>
      <c r="M448"/>
    </row>
    <row r="449" spans="1:13" x14ac:dyDescent="0.25">
      <c r="A449"/>
      <c r="B449" s="544" t="s">
        <v>1085</v>
      </c>
      <c r="C449" s="182" t="s">
        <v>1092</v>
      </c>
      <c r="D449">
        <v>2.95</v>
      </c>
      <c r="E449">
        <v>6</v>
      </c>
      <c r="F449">
        <v>0.61699999999999999</v>
      </c>
      <c r="G449">
        <f>13</f>
        <v>13</v>
      </c>
      <c r="H449" s="379">
        <f t="shared" si="15"/>
        <v>141.97170000000003</v>
      </c>
      <c r="I449"/>
      <c r="J449"/>
      <c r="K449"/>
      <c r="L449"/>
      <c r="M449"/>
    </row>
    <row r="450" spans="1:13" x14ac:dyDescent="0.25">
      <c r="A450"/>
      <c r="B450" s="544"/>
      <c r="C450" s="182" t="s">
        <v>1093</v>
      </c>
      <c r="D450">
        <v>2.95</v>
      </c>
      <c r="E450">
        <v>4</v>
      </c>
      <c r="F450">
        <v>0.61699999999999999</v>
      </c>
      <c r="G450">
        <v>11</v>
      </c>
      <c r="H450" s="379">
        <f t="shared" si="15"/>
        <v>80.086600000000004</v>
      </c>
      <c r="I450"/>
      <c r="J450"/>
      <c r="K450"/>
      <c r="L450"/>
      <c r="M450"/>
    </row>
    <row r="451" spans="1:13" x14ac:dyDescent="0.25">
      <c r="A451"/>
      <c r="B451" s="544"/>
      <c r="C451" t="s">
        <v>1090</v>
      </c>
      <c r="D451"/>
      <c r="E451"/>
      <c r="F451"/>
      <c r="G451">
        <v>98.3</v>
      </c>
      <c r="H451" s="379">
        <f>G451</f>
        <v>98.3</v>
      </c>
      <c r="I451"/>
      <c r="J451"/>
      <c r="K451"/>
      <c r="L451"/>
      <c r="M451"/>
    </row>
    <row r="452" spans="1:13" x14ac:dyDescent="0.25">
      <c r="A452"/>
      <c r="B452" s="544"/>
      <c r="C452" t="s">
        <v>1091</v>
      </c>
      <c r="D452"/>
      <c r="E452"/>
      <c r="F452"/>
      <c r="G452">
        <v>101.9</v>
      </c>
      <c r="H452" s="379">
        <f>G452</f>
        <v>101.9</v>
      </c>
      <c r="I452"/>
      <c r="J452"/>
      <c r="K452"/>
      <c r="L452"/>
      <c r="M452"/>
    </row>
    <row r="453" spans="1:13" x14ac:dyDescent="0.25">
      <c r="A453"/>
      <c r="B453"/>
      <c r="C453"/>
      <c r="D453"/>
      <c r="E453"/>
      <c r="F453"/>
      <c r="G453"/>
      <c r="H453" s="379"/>
      <c r="I453"/>
      <c r="J453"/>
      <c r="K453"/>
      <c r="L453"/>
      <c r="M453"/>
    </row>
    <row r="454" spans="1:13" ht="14.25" customHeight="1" x14ac:dyDescent="0.25">
      <c r="A454" s="80" t="s">
        <v>657</v>
      </c>
      <c r="B454" s="81"/>
      <c r="C454" s="82" t="str">
        <f>VLOOKUP(A454,'[2]Orçamento Sintético'!A:J,4,0)</f>
        <v>ARMAÇÃO DE ESTRUTURAS DIVERSAS DE CONCRETO ARMADO, EXCETO VIGAS, PILARES, LAJES E FUNDAÇÕES, UTILIZANDO AÇO CA-50 DE 12,5 MM - MONTAGEM. AF_06/2022</v>
      </c>
      <c r="D454" s="81"/>
      <c r="E454" s="81" t="str">
        <f>VLOOKUP(A454,'[2]Orçamento Sintético'!A:J,5,0)</f>
        <v>KG</v>
      </c>
      <c r="F454" s="462" t="s">
        <v>1084</v>
      </c>
      <c r="G454" s="462"/>
      <c r="H454" s="85">
        <f>H460+H461</f>
        <v>102.27000000000001</v>
      </c>
      <c r="I454"/>
      <c r="J454"/>
      <c r="K454"/>
      <c r="L454"/>
      <c r="M454"/>
    </row>
    <row r="455" spans="1:13" ht="14.25" customHeight="1" x14ac:dyDescent="0.25">
      <c r="A455" s="65"/>
      <c r="B455" s="65"/>
      <c r="C455" s="66"/>
      <c r="D455" s="67"/>
      <c r="E455" s="67"/>
      <c r="F455" s="463" t="s">
        <v>578</v>
      </c>
      <c r="G455" s="464"/>
      <c r="H455" s="377">
        <v>0</v>
      </c>
      <c r="I455"/>
      <c r="J455"/>
      <c r="K455"/>
      <c r="L455"/>
      <c r="M455"/>
    </row>
    <row r="456" spans="1:13" ht="14.25" customHeight="1" x14ac:dyDescent="0.25">
      <c r="A456" s="65"/>
      <c r="B456" s="65"/>
      <c r="C456" s="66"/>
      <c r="D456" s="67"/>
      <c r="E456" s="67"/>
      <c r="F456" s="456" t="s">
        <v>579</v>
      </c>
      <c r="G456" s="456"/>
      <c r="H456" s="377">
        <f>VLOOKUP(A454,'[2]Orçamento Sintético'!A:J,6,0)</f>
        <v>102.27</v>
      </c>
      <c r="I456"/>
      <c r="J456"/>
      <c r="K456"/>
      <c r="L456"/>
      <c r="M456"/>
    </row>
    <row r="457" spans="1:13" ht="14.25" customHeight="1" x14ac:dyDescent="0.25">
      <c r="A457" s="65"/>
      <c r="B457" s="65"/>
      <c r="C457" s="66"/>
      <c r="D457" s="67"/>
      <c r="E457" s="67"/>
      <c r="F457" s="456" t="s">
        <v>596</v>
      </c>
      <c r="G457" s="456"/>
      <c r="H457" s="264">
        <f>H460+H461</f>
        <v>102.27000000000001</v>
      </c>
      <c r="I457"/>
      <c r="J457"/>
      <c r="K457"/>
      <c r="L457"/>
      <c r="M457"/>
    </row>
    <row r="458" spans="1:13" ht="14.25" customHeight="1" x14ac:dyDescent="0.25">
      <c r="A458" s="65"/>
      <c r="B458" s="65"/>
      <c r="C458" s="66"/>
      <c r="D458" s="67"/>
      <c r="E458" s="67"/>
      <c r="F458" s="457" t="s">
        <v>580</v>
      </c>
      <c r="G458" s="457"/>
      <c r="H458" s="264">
        <f>H456-H457</f>
        <v>0</v>
      </c>
      <c r="I458"/>
      <c r="J458"/>
      <c r="K458"/>
      <c r="L458"/>
      <c r="M458"/>
    </row>
    <row r="459" spans="1:13" ht="14.25" customHeight="1" x14ac:dyDescent="0.25">
      <c r="A459" s="65"/>
      <c r="B459" s="65"/>
      <c r="C459" s="66"/>
      <c r="D459" s="241" t="s">
        <v>1008</v>
      </c>
      <c r="E459" s="241" t="s">
        <v>1009</v>
      </c>
      <c r="F459" s="241" t="s">
        <v>1010</v>
      </c>
      <c r="G459" s="241" t="s">
        <v>1011</v>
      </c>
      <c r="H459" s="378"/>
      <c r="I459"/>
      <c r="J459"/>
      <c r="K459"/>
      <c r="L459"/>
      <c r="M459"/>
    </row>
    <row r="460" spans="1:13" x14ac:dyDescent="0.25">
      <c r="A460"/>
      <c r="B460" s="544" t="s">
        <v>1085</v>
      </c>
      <c r="C460" t="s">
        <v>1094</v>
      </c>
      <c r="D460"/>
      <c r="E460"/>
      <c r="F460"/>
      <c r="G460">
        <v>68.17</v>
      </c>
      <c r="H460" s="229">
        <f>G460</f>
        <v>68.17</v>
      </c>
      <c r="I460"/>
      <c r="J460"/>
      <c r="K460"/>
      <c r="L460"/>
      <c r="M460"/>
    </row>
    <row r="461" spans="1:13" x14ac:dyDescent="0.25">
      <c r="A461"/>
      <c r="B461" s="544"/>
      <c r="C461" t="s">
        <v>1091</v>
      </c>
      <c r="D461"/>
      <c r="E461"/>
      <c r="F461"/>
      <c r="G461">
        <v>34.1</v>
      </c>
      <c r="H461" s="229">
        <f>G461</f>
        <v>34.1</v>
      </c>
      <c r="I461"/>
      <c r="J461"/>
      <c r="K461"/>
      <c r="L461"/>
      <c r="M461"/>
    </row>
    <row r="462" spans="1:13" x14ac:dyDescent="0.25">
      <c r="A462"/>
      <c r="B462"/>
      <c r="C462"/>
      <c r="D462"/>
      <c r="E462"/>
      <c r="F462"/>
      <c r="G462"/>
      <c r="H462" s="95"/>
      <c r="I462"/>
      <c r="J462"/>
      <c r="K462"/>
      <c r="L462"/>
      <c r="M462"/>
    </row>
    <row r="463" spans="1:13" x14ac:dyDescent="0.25">
      <c r="A463"/>
      <c r="B463"/>
      <c r="C463"/>
      <c r="D463"/>
      <c r="E463"/>
      <c r="F463"/>
      <c r="G463"/>
      <c r="H463"/>
      <c r="I463"/>
      <c r="J463"/>
      <c r="K463"/>
      <c r="L463"/>
      <c r="M463"/>
    </row>
    <row r="464" spans="1:13" ht="39.6" x14ac:dyDescent="0.25">
      <c r="A464" s="80" t="s">
        <v>658</v>
      </c>
      <c r="B464" s="81"/>
      <c r="C464" s="82" t="str">
        <f>VLOOKUP(A464,'[2]Orçamento Sintético'!A:J,4,0)</f>
        <v>ARMAÇÃO DE ESTRUTURAS DIVERSAS DE CONCRETO ARMADO, EXCETO VIGAS, PILARES, LAJES E FUNDAÇÕES, UTILIZANDO AÇO CA-60 DE 5,0 MM - MONTAGEM. AF_06/2022</v>
      </c>
      <c r="D464" s="81"/>
      <c r="E464" s="81" t="str">
        <f>VLOOKUP(A464,'[2]Orçamento Sintético'!A:J,5,0)</f>
        <v>KG</v>
      </c>
      <c r="F464" s="462" t="s">
        <v>1084</v>
      </c>
      <c r="G464" s="462"/>
      <c r="H464" s="85">
        <f>H477+H478+H479+H480</f>
        <v>126.54400000000001</v>
      </c>
      <c r="I464" s="216"/>
      <c r="J464"/>
      <c r="K464"/>
      <c r="L464"/>
      <c r="M464"/>
    </row>
    <row r="465" spans="1:13" x14ac:dyDescent="0.25">
      <c r="A465" s="65"/>
      <c r="B465" s="65"/>
      <c r="C465" s="66"/>
      <c r="D465" s="67"/>
      <c r="E465" s="67"/>
      <c r="F465" s="463" t="s">
        <v>578</v>
      </c>
      <c r="G465" s="464"/>
      <c r="H465" s="377">
        <f>H476+H475+H474+H473+H472+H471</f>
        <v>97.789500000000004</v>
      </c>
      <c r="I465"/>
      <c r="J465"/>
      <c r="K465"/>
      <c r="L465"/>
      <c r="M465"/>
    </row>
    <row r="466" spans="1:13" x14ac:dyDescent="0.25">
      <c r="A466" s="65"/>
      <c r="B466" s="65"/>
      <c r="C466" s="66"/>
      <c r="D466" s="67"/>
      <c r="E466" s="67"/>
      <c r="F466" s="456" t="s">
        <v>579</v>
      </c>
      <c r="G466" s="456"/>
      <c r="H466" s="377">
        <f>VLOOKUP(A464,'[2]Orçamento Sintético'!A:J,6,0)</f>
        <v>404.73</v>
      </c>
      <c r="I466"/>
      <c r="J466"/>
      <c r="K466"/>
      <c r="L466"/>
      <c r="M466"/>
    </row>
    <row r="467" spans="1:13" ht="37.5" customHeight="1" x14ac:dyDescent="0.25">
      <c r="A467" s="65"/>
      <c r="B467" s="65"/>
      <c r="C467" s="66"/>
      <c r="D467" s="67"/>
      <c r="E467" s="67"/>
      <c r="F467" s="456" t="s">
        <v>596</v>
      </c>
      <c r="G467" s="456"/>
      <c r="H467" s="264">
        <f>H477+H478+H479+H480</f>
        <v>126.54400000000001</v>
      </c>
      <c r="I467"/>
      <c r="J467"/>
      <c r="K467"/>
      <c r="L467"/>
      <c r="M467"/>
    </row>
    <row r="468" spans="1:13" x14ac:dyDescent="0.25">
      <c r="A468" s="65"/>
      <c r="B468" s="65"/>
      <c r="C468" s="66"/>
      <c r="D468" s="67"/>
      <c r="E468" s="67"/>
      <c r="F468" s="457" t="s">
        <v>580</v>
      </c>
      <c r="G468" s="457"/>
      <c r="H468" s="264">
        <f>H466-(H465+H467)</f>
        <v>180.3965</v>
      </c>
      <c r="I468"/>
      <c r="J468"/>
      <c r="K468"/>
      <c r="L468"/>
      <c r="M468"/>
    </row>
    <row r="469" spans="1:13" x14ac:dyDescent="0.25">
      <c r="A469" s="65"/>
      <c r="B469" s="65"/>
      <c r="C469" s="66"/>
      <c r="D469" s="241" t="s">
        <v>1008</v>
      </c>
      <c r="E469" s="241" t="s">
        <v>1009</v>
      </c>
      <c r="F469" s="241" t="s">
        <v>1010</v>
      </c>
      <c r="G469" s="241" t="s">
        <v>1011</v>
      </c>
      <c r="H469" s="378"/>
      <c r="I469"/>
      <c r="J469"/>
      <c r="K469"/>
      <c r="L469"/>
      <c r="M469"/>
    </row>
    <row r="470" spans="1:13" ht="21" hidden="1" customHeight="1" x14ac:dyDescent="0.25">
      <c r="A470"/>
      <c r="B470"/>
      <c r="C470"/>
      <c r="D470"/>
      <c r="E470"/>
      <c r="F470"/>
      <c r="G470"/>
      <c r="H470" s="379"/>
      <c r="I470"/>
      <c r="J470"/>
      <c r="K470"/>
      <c r="L470"/>
      <c r="M470"/>
    </row>
    <row r="471" spans="1:13" hidden="1" x14ac:dyDescent="0.25">
      <c r="A471"/>
      <c r="B471" s="506" t="s">
        <v>980</v>
      </c>
      <c r="C471" s="182" t="s">
        <v>1044</v>
      </c>
      <c r="D471">
        <f>0.92+0.21</f>
        <v>1.1300000000000001</v>
      </c>
      <c r="E471">
        <v>15</v>
      </c>
      <c r="F471">
        <v>0.155</v>
      </c>
      <c r="G471">
        <v>18</v>
      </c>
      <c r="H471" s="379">
        <f>G471*F471*E471*D471</f>
        <v>47.290500000000009</v>
      </c>
      <c r="I471"/>
      <c r="J471"/>
      <c r="K471"/>
      <c r="L471"/>
      <c r="M471"/>
    </row>
    <row r="472" spans="1:13" hidden="1" x14ac:dyDescent="0.25">
      <c r="A472"/>
      <c r="B472" s="506"/>
      <c r="C472" s="182" t="s">
        <v>1045</v>
      </c>
      <c r="D472">
        <v>0.68</v>
      </c>
      <c r="E472">
        <v>15</v>
      </c>
      <c r="F472">
        <v>0.155</v>
      </c>
      <c r="G472">
        <v>7</v>
      </c>
      <c r="H472" s="379">
        <f t="shared" ref="H472:H478" si="16">G472*F472*E472*D472</f>
        <v>11.067</v>
      </c>
      <c r="I472"/>
      <c r="J472"/>
      <c r="K472"/>
      <c r="L472"/>
      <c r="M472"/>
    </row>
    <row r="473" spans="1:13" hidden="1" x14ac:dyDescent="0.25">
      <c r="A473"/>
      <c r="B473" s="506"/>
      <c r="C473" s="182" t="s">
        <v>1046</v>
      </c>
      <c r="D473">
        <f>0.92+0.21</f>
        <v>1.1300000000000001</v>
      </c>
      <c r="E473">
        <v>15</v>
      </c>
      <c r="F473">
        <v>0.155</v>
      </c>
      <c r="G473">
        <v>7</v>
      </c>
      <c r="H473" s="379">
        <f t="shared" si="16"/>
        <v>18.390750000000001</v>
      </c>
      <c r="I473"/>
      <c r="J473"/>
      <c r="K473"/>
      <c r="L473"/>
      <c r="M473"/>
    </row>
    <row r="474" spans="1:13" ht="14.25" hidden="1" customHeight="1" x14ac:dyDescent="0.25">
      <c r="A474"/>
      <c r="B474" s="506"/>
      <c r="C474" s="182" t="s">
        <v>1047</v>
      </c>
      <c r="D474">
        <v>0.68</v>
      </c>
      <c r="E474">
        <v>15</v>
      </c>
      <c r="F474">
        <v>0.155</v>
      </c>
      <c r="G474">
        <v>3</v>
      </c>
      <c r="H474" s="379">
        <f t="shared" si="16"/>
        <v>4.7430000000000003</v>
      </c>
      <c r="I474"/>
      <c r="J474"/>
      <c r="K474"/>
      <c r="L474"/>
      <c r="M474"/>
    </row>
    <row r="475" spans="1:13" ht="14.25" hidden="1" customHeight="1" x14ac:dyDescent="0.25">
      <c r="A475"/>
      <c r="B475" s="506"/>
      <c r="C475" s="182" t="s">
        <v>1048</v>
      </c>
      <c r="D475">
        <f>0.92+0.21</f>
        <v>1.1300000000000001</v>
      </c>
      <c r="E475">
        <v>15</v>
      </c>
      <c r="F475">
        <v>0.155</v>
      </c>
      <c r="G475">
        <v>5</v>
      </c>
      <c r="H475" s="379">
        <f t="shared" si="16"/>
        <v>13.136250000000002</v>
      </c>
      <c r="I475"/>
      <c r="J475"/>
      <c r="K475"/>
      <c r="L475"/>
      <c r="M475"/>
    </row>
    <row r="476" spans="1:13" ht="14.25" hidden="1" customHeight="1" x14ac:dyDescent="0.25">
      <c r="A476"/>
      <c r="B476" s="506"/>
      <c r="C476" s="182" t="s">
        <v>1049</v>
      </c>
      <c r="D476">
        <v>0.68</v>
      </c>
      <c r="E476">
        <v>15</v>
      </c>
      <c r="F476">
        <v>0.155</v>
      </c>
      <c r="G476">
        <v>2</v>
      </c>
      <c r="H476" s="379">
        <f t="shared" si="16"/>
        <v>3.1620000000000004</v>
      </c>
      <c r="I476"/>
      <c r="J476"/>
      <c r="K476"/>
      <c r="L476"/>
      <c r="M476"/>
    </row>
    <row r="477" spans="1:13" ht="14.25" customHeight="1" x14ac:dyDescent="0.25">
      <c r="A477"/>
      <c r="B477" s="544" t="s">
        <v>1085</v>
      </c>
      <c r="C477" s="182" t="s">
        <v>1092</v>
      </c>
      <c r="D477">
        <v>0.68</v>
      </c>
      <c r="E477">
        <v>15</v>
      </c>
      <c r="F477">
        <v>0.155</v>
      </c>
      <c r="G477">
        <v>13</v>
      </c>
      <c r="H477" s="379">
        <f t="shared" si="16"/>
        <v>20.553000000000001</v>
      </c>
      <c r="I477"/>
      <c r="J477"/>
      <c r="K477"/>
      <c r="L477"/>
      <c r="M477"/>
    </row>
    <row r="478" spans="1:13" ht="14.25" customHeight="1" x14ac:dyDescent="0.25">
      <c r="A478"/>
      <c r="B478" s="544"/>
      <c r="C478" s="182" t="s">
        <v>1093</v>
      </c>
      <c r="D478">
        <v>0.68</v>
      </c>
      <c r="E478">
        <v>15</v>
      </c>
      <c r="F478">
        <v>0.155</v>
      </c>
      <c r="G478">
        <v>11</v>
      </c>
      <c r="H478" s="379">
        <f t="shared" si="16"/>
        <v>17.391000000000002</v>
      </c>
      <c r="I478"/>
      <c r="J478"/>
      <c r="K478"/>
      <c r="L478"/>
      <c r="M478"/>
    </row>
    <row r="479" spans="1:13" ht="14.25" customHeight="1" x14ac:dyDescent="0.25">
      <c r="A479"/>
      <c r="B479" s="544"/>
      <c r="C479" s="182" t="s">
        <v>1095</v>
      </c>
      <c r="D479"/>
      <c r="E479"/>
      <c r="F479"/>
      <c r="G479">
        <v>41.1</v>
      </c>
      <c r="H479" s="379">
        <f>G479</f>
        <v>41.1</v>
      </c>
      <c r="I479"/>
      <c r="J479"/>
      <c r="K479"/>
      <c r="L479"/>
      <c r="M479"/>
    </row>
    <row r="480" spans="1:13" x14ac:dyDescent="0.25">
      <c r="A480"/>
      <c r="B480" s="544"/>
      <c r="C480" s="182" t="s">
        <v>1091</v>
      </c>
      <c r="D480"/>
      <c r="E480"/>
      <c r="F480"/>
      <c r="G480">
        <v>47.5</v>
      </c>
      <c r="H480" s="379">
        <f>G480</f>
        <v>47.5</v>
      </c>
      <c r="I480"/>
      <c r="J480"/>
      <c r="K480"/>
      <c r="L480"/>
      <c r="M480"/>
    </row>
    <row r="481" spans="1:13" x14ac:dyDescent="0.25">
      <c r="A481"/>
      <c r="B481" s="250"/>
      <c r="C481" s="182"/>
      <c r="D481"/>
      <c r="E481"/>
      <c r="F481"/>
      <c r="G481"/>
      <c r="H481" s="95"/>
      <c r="I481"/>
      <c r="J481"/>
      <c r="K481"/>
      <c r="L481"/>
      <c r="M481"/>
    </row>
    <row r="482" spans="1:13" x14ac:dyDescent="0.25">
      <c r="A482"/>
      <c r="B482" s="250"/>
      <c r="C482" s="182"/>
      <c r="D482"/>
      <c r="E482"/>
      <c r="F482"/>
      <c r="G482"/>
      <c r="H482" s="95"/>
      <c r="I482"/>
      <c r="J482"/>
      <c r="K482"/>
      <c r="L482"/>
      <c r="M482"/>
    </row>
    <row r="483" spans="1:13" x14ac:dyDescent="0.25">
      <c r="A483"/>
      <c r="B483"/>
      <c r="C483"/>
      <c r="D483"/>
      <c r="E483"/>
      <c r="F483"/>
      <c r="G483"/>
      <c r="H483"/>
      <c r="I483"/>
      <c r="J483"/>
      <c r="K483"/>
      <c r="L483"/>
      <c r="M483"/>
    </row>
    <row r="484" spans="1:13" ht="26.4" x14ac:dyDescent="0.25">
      <c r="A484" s="80" t="s">
        <v>659</v>
      </c>
      <c r="B484" s="81"/>
      <c r="C484" s="82" t="str">
        <f>VLOOKUP(A484,'[2]Orçamento Sintético'!A:J,4,0)</f>
        <v>CONCRETAGEM DE PILARES, FCK = 25 MPA, COM USO DE BOMBA - LANÇAMENTO, ADENSAMENTO E ACABAMENTO. AF_02/2022_PS</v>
      </c>
      <c r="D484" s="81"/>
      <c r="E484" s="81" t="str">
        <f>VLOOKUP(A484,'[2]Orçamento Sintético'!A:J,5,0)</f>
        <v>m³</v>
      </c>
      <c r="F484" s="462" t="s">
        <v>1084</v>
      </c>
      <c r="G484" s="462"/>
      <c r="H484" s="85">
        <f>H497+H498+H499+H500</f>
        <v>6.2704000000000004</v>
      </c>
      <c r="I484" s="216"/>
      <c r="J484"/>
      <c r="K484"/>
      <c r="L484"/>
      <c r="M484"/>
    </row>
    <row r="485" spans="1:13" ht="38.25" hidden="1" customHeight="1" x14ac:dyDescent="0.25">
      <c r="A485" s="65"/>
      <c r="B485" s="65"/>
      <c r="C485" s="66"/>
      <c r="D485" s="67"/>
      <c r="E485" s="67"/>
      <c r="F485" s="463" t="s">
        <v>578</v>
      </c>
      <c r="G485" s="464"/>
      <c r="H485" s="377">
        <f>H496+H495+H494+H493+H492+H491</f>
        <v>4.9920000000000009</v>
      </c>
      <c r="I485"/>
      <c r="J485"/>
      <c r="K485"/>
      <c r="L485"/>
      <c r="M485"/>
    </row>
    <row r="486" spans="1:13" ht="14.25" hidden="1" customHeight="1" x14ac:dyDescent="0.25">
      <c r="A486" s="65"/>
      <c r="B486" s="65"/>
      <c r="C486" s="66"/>
      <c r="D486" s="67"/>
      <c r="E486" s="67"/>
      <c r="F486" s="456" t="s">
        <v>579</v>
      </c>
      <c r="G486" s="456"/>
      <c r="H486" s="377">
        <f>VLOOKUP(A484,'[2]Orçamento Sintético'!A:J,6,0)</f>
        <v>16.149999999999999</v>
      </c>
      <c r="I486"/>
      <c r="J486"/>
      <c r="K486"/>
      <c r="L486"/>
      <c r="M486"/>
    </row>
    <row r="487" spans="1:13" ht="14.25" hidden="1" customHeight="1" x14ac:dyDescent="0.25">
      <c r="A487" s="65"/>
      <c r="B487" s="65"/>
      <c r="C487" s="66"/>
      <c r="D487" s="67"/>
      <c r="E487" s="67"/>
      <c r="F487" s="456" t="s">
        <v>596</v>
      </c>
      <c r="G487" s="456"/>
      <c r="H487" s="264">
        <f>H500+H499+H498+H497</f>
        <v>6.2703999999999995</v>
      </c>
      <c r="I487"/>
      <c r="J487"/>
      <c r="K487"/>
      <c r="L487"/>
      <c r="M487"/>
    </row>
    <row r="488" spans="1:13" ht="14.25" hidden="1" customHeight="1" x14ac:dyDescent="0.25">
      <c r="A488" s="65"/>
      <c r="B488" s="65"/>
      <c r="C488" s="66"/>
      <c r="D488" s="67"/>
      <c r="E488" s="67"/>
      <c r="F488" s="457" t="s">
        <v>580</v>
      </c>
      <c r="G488" s="457"/>
      <c r="H488" s="264">
        <f>H486-(H485+H487)</f>
        <v>4.8875999999999991</v>
      </c>
      <c r="I488"/>
      <c r="J488"/>
      <c r="K488"/>
      <c r="L488"/>
      <c r="M488"/>
    </row>
    <row r="489" spans="1:13" ht="14.25" hidden="1" customHeight="1" x14ac:dyDescent="0.25">
      <c r="A489" s="65"/>
      <c r="B489" s="65"/>
      <c r="C489" s="66"/>
      <c r="D489" s="70" t="s">
        <v>971</v>
      </c>
      <c r="E489" s="70" t="s">
        <v>972</v>
      </c>
      <c r="F489" s="70" t="s">
        <v>977</v>
      </c>
      <c r="G489" s="71" t="s">
        <v>584</v>
      </c>
      <c r="H489" s="378"/>
      <c r="I489"/>
      <c r="J489"/>
      <c r="K489"/>
      <c r="L489"/>
      <c r="M489"/>
    </row>
    <row r="490" spans="1:13" ht="14.25" hidden="1" customHeight="1" x14ac:dyDescent="0.25">
      <c r="A490"/>
      <c r="B490"/>
      <c r="C490"/>
      <c r="D490"/>
      <c r="E490"/>
      <c r="F490"/>
      <c r="G490"/>
      <c r="H490" s="379"/>
      <c r="I490"/>
      <c r="J490"/>
      <c r="K490"/>
      <c r="L490"/>
      <c r="M490"/>
    </row>
    <row r="491" spans="1:13" ht="14.25" hidden="1" customHeight="1" x14ac:dyDescent="0.25">
      <c r="A491"/>
      <c r="B491" s="506" t="s">
        <v>980</v>
      </c>
      <c r="C491" s="182" t="s">
        <v>1038</v>
      </c>
      <c r="D491">
        <v>0.4</v>
      </c>
      <c r="E491">
        <v>2.6</v>
      </c>
      <c r="F491">
        <v>0.12</v>
      </c>
      <c r="G491">
        <v>18</v>
      </c>
      <c r="H491" s="379">
        <f>F491*G491*D491*E491</f>
        <v>2.2464000000000004</v>
      </c>
      <c r="I491"/>
      <c r="J491"/>
      <c r="K491"/>
      <c r="L491"/>
      <c r="M491"/>
    </row>
    <row r="492" spans="1:13" ht="14.25" hidden="1" customHeight="1" x14ac:dyDescent="0.25">
      <c r="A492"/>
      <c r="B492" s="506"/>
      <c r="C492" s="182" t="s">
        <v>1039</v>
      </c>
      <c r="D492">
        <v>0.2</v>
      </c>
      <c r="E492">
        <v>2.6</v>
      </c>
      <c r="F492" s="95">
        <v>0.2</v>
      </c>
      <c r="G492">
        <v>7</v>
      </c>
      <c r="H492" s="379">
        <f>F492*G492*E492*D492</f>
        <v>0.7280000000000002</v>
      </c>
      <c r="I492"/>
      <c r="J492"/>
      <c r="K492"/>
      <c r="L492"/>
      <c r="M492"/>
    </row>
    <row r="493" spans="1:13" ht="14.25" hidden="1" customHeight="1" x14ac:dyDescent="0.25">
      <c r="A493"/>
      <c r="B493" s="506"/>
      <c r="C493" s="182" t="s">
        <v>1040</v>
      </c>
      <c r="D493">
        <v>0.4</v>
      </c>
      <c r="E493">
        <v>2.6</v>
      </c>
      <c r="F493">
        <v>0.12</v>
      </c>
      <c r="G493">
        <v>7</v>
      </c>
      <c r="H493" s="379">
        <f>F493*G493*E493*D493</f>
        <v>0.87360000000000015</v>
      </c>
      <c r="I493"/>
      <c r="J493"/>
      <c r="K493"/>
      <c r="L493"/>
      <c r="M493"/>
    </row>
    <row r="494" spans="1:13" ht="14.25" hidden="1" customHeight="1" x14ac:dyDescent="0.25">
      <c r="A494"/>
      <c r="B494" s="506"/>
      <c r="C494" s="182" t="s">
        <v>1041</v>
      </c>
      <c r="D494">
        <v>0.2</v>
      </c>
      <c r="E494">
        <v>2.6</v>
      </c>
      <c r="F494" s="95">
        <v>0.2</v>
      </c>
      <c r="G494">
        <v>3</v>
      </c>
      <c r="H494" s="379">
        <f t="shared" ref="H494:H498" si="17">F494*G494*E494*D494</f>
        <v>0.31200000000000006</v>
      </c>
      <c r="I494"/>
      <c r="J494"/>
      <c r="K494"/>
      <c r="L494"/>
      <c r="M494"/>
    </row>
    <row r="495" spans="1:13" ht="14.25" hidden="1" customHeight="1" x14ac:dyDescent="0.25">
      <c r="A495"/>
      <c r="B495" s="506"/>
      <c r="C495" s="182" t="s">
        <v>1042</v>
      </c>
      <c r="D495">
        <v>0.4</v>
      </c>
      <c r="E495">
        <v>2.6</v>
      </c>
      <c r="F495">
        <v>0.12</v>
      </c>
      <c r="G495">
        <v>5</v>
      </c>
      <c r="H495" s="379">
        <f t="shared" si="17"/>
        <v>0.62400000000000011</v>
      </c>
      <c r="I495"/>
      <c r="J495"/>
      <c r="K495"/>
      <c r="L495"/>
      <c r="M495"/>
    </row>
    <row r="496" spans="1:13" ht="37.5" hidden="1" customHeight="1" x14ac:dyDescent="0.25">
      <c r="A496"/>
      <c r="B496" s="506"/>
      <c r="C496" s="182" t="s">
        <v>1043</v>
      </c>
      <c r="D496">
        <v>0.2</v>
      </c>
      <c r="E496">
        <v>2.6</v>
      </c>
      <c r="F496" s="95">
        <v>0.2</v>
      </c>
      <c r="G496">
        <v>2</v>
      </c>
      <c r="H496" s="379">
        <f t="shared" si="17"/>
        <v>0.20800000000000002</v>
      </c>
      <c r="I496"/>
      <c r="J496"/>
      <c r="K496"/>
      <c r="L496"/>
      <c r="M496"/>
    </row>
    <row r="497" spans="1:13" x14ac:dyDescent="0.25">
      <c r="A497"/>
      <c r="B497" s="544" t="s">
        <v>1085</v>
      </c>
      <c r="C497" s="182" t="s">
        <v>1092</v>
      </c>
      <c r="D497">
        <v>0.4</v>
      </c>
      <c r="E497">
        <v>2.6</v>
      </c>
      <c r="F497">
        <v>0.12</v>
      </c>
      <c r="G497">
        <v>13</v>
      </c>
      <c r="H497" s="379">
        <f t="shared" si="17"/>
        <v>1.6224000000000001</v>
      </c>
      <c r="I497"/>
      <c r="J497"/>
      <c r="K497"/>
      <c r="L497"/>
      <c r="M497"/>
    </row>
    <row r="498" spans="1:13" x14ac:dyDescent="0.25">
      <c r="A498"/>
      <c r="B498" s="544"/>
      <c r="C498" s="182" t="s">
        <v>1093</v>
      </c>
      <c r="D498">
        <v>0.2</v>
      </c>
      <c r="E498">
        <v>2.6</v>
      </c>
      <c r="F498" s="95">
        <v>0.2</v>
      </c>
      <c r="G498">
        <v>12</v>
      </c>
      <c r="H498" s="379">
        <f t="shared" si="17"/>
        <v>1.2480000000000002</v>
      </c>
      <c r="I498"/>
      <c r="J498"/>
      <c r="K498"/>
      <c r="L498"/>
      <c r="M498"/>
    </row>
    <row r="499" spans="1:13" x14ac:dyDescent="0.25">
      <c r="A499"/>
      <c r="B499" s="544"/>
      <c r="C499" s="182" t="s">
        <v>1095</v>
      </c>
      <c r="D499"/>
      <c r="E499"/>
      <c r="F499"/>
      <c r="G499">
        <v>1.65</v>
      </c>
      <c r="H499" s="379">
        <f>G499</f>
        <v>1.65</v>
      </c>
      <c r="I499"/>
      <c r="J499"/>
      <c r="K499"/>
      <c r="L499"/>
      <c r="M499"/>
    </row>
    <row r="500" spans="1:13" x14ac:dyDescent="0.25">
      <c r="A500"/>
      <c r="B500" s="544"/>
      <c r="C500" s="182" t="s">
        <v>1091</v>
      </c>
      <c r="D500"/>
      <c r="E500"/>
      <c r="F500"/>
      <c r="G500">
        <v>1.75</v>
      </c>
      <c r="H500" s="379">
        <f>G500</f>
        <v>1.75</v>
      </c>
      <c r="I500"/>
      <c r="J500"/>
      <c r="K500"/>
      <c r="L500"/>
      <c r="M500"/>
    </row>
    <row r="501" spans="1:13" x14ac:dyDescent="0.25">
      <c r="A501"/>
      <c r="B501"/>
      <c r="C501"/>
      <c r="D501"/>
      <c r="E501"/>
      <c r="F501"/>
      <c r="G501"/>
      <c r="H501"/>
      <c r="I501"/>
      <c r="J501"/>
      <c r="K501"/>
      <c r="L501"/>
      <c r="M501"/>
    </row>
    <row r="502" spans="1:13" ht="39.6" x14ac:dyDescent="0.25">
      <c r="A502" s="80" t="s">
        <v>660</v>
      </c>
      <c r="B502" s="81"/>
      <c r="C502" s="82" t="str">
        <f>VLOOKUP(A502,'[2]Orçamento Sintético'!A:J,4,0)</f>
        <v>LAJE PRÉ-MOLDADA P/FORRO, SOBRECARGA 100KG/M², VÃO ATÉ 3,50 M/E = 8CM, COM LAJOTAS E CAPA C/ CONC. FCK=20MPA, 3CM, INTER-EIXO 38CM, C/ESCORAMENTO (REAPR. 3X) E FERRAGEM-PREÇO 02/23 - SINAPI/PB. (M²)</v>
      </c>
      <c r="D502" s="81"/>
      <c r="E502" s="81" t="str">
        <f>VLOOKUP(A502,'[2]Orçamento Sintético'!A:J,5,0)</f>
        <v>M²</v>
      </c>
      <c r="F502" s="462" t="s">
        <v>1084</v>
      </c>
      <c r="G502" s="462"/>
      <c r="H502" s="85">
        <f>H508</f>
        <v>0</v>
      </c>
      <c r="I502"/>
      <c r="J502"/>
      <c r="K502"/>
      <c r="L502"/>
      <c r="M502"/>
    </row>
    <row r="503" spans="1:13" ht="15" customHeight="1" x14ac:dyDescent="0.25">
      <c r="A503" s="65"/>
      <c r="B503" s="65"/>
      <c r="C503" s="66"/>
      <c r="D503" s="67"/>
      <c r="E503" s="67"/>
      <c r="F503" s="463" t="s">
        <v>578</v>
      </c>
      <c r="G503" s="464"/>
      <c r="H503" s="68"/>
      <c r="I503"/>
      <c r="J503"/>
      <c r="K503"/>
      <c r="L503"/>
      <c r="M503"/>
    </row>
    <row r="504" spans="1:13" ht="14.25" customHeight="1" x14ac:dyDescent="0.25">
      <c r="A504" s="65"/>
      <c r="B504" s="65"/>
      <c r="C504" s="66"/>
      <c r="D504" s="67"/>
      <c r="E504" s="67"/>
      <c r="F504" s="456" t="s">
        <v>579</v>
      </c>
      <c r="G504" s="456"/>
      <c r="H504" s="68">
        <f>VLOOKUP(A502,'[2]Orçamento Sintético'!A:J,6,0)</f>
        <v>647.46</v>
      </c>
      <c r="I504"/>
      <c r="J504"/>
      <c r="K504"/>
      <c r="L504"/>
      <c r="M504"/>
    </row>
    <row r="505" spans="1:13" x14ac:dyDescent="0.25">
      <c r="A505" s="65"/>
      <c r="B505" s="65"/>
      <c r="C505" s="66"/>
      <c r="D505" s="67"/>
      <c r="E505" s="67"/>
      <c r="F505" s="456" t="s">
        <v>596</v>
      </c>
      <c r="G505" s="456"/>
      <c r="H505" s="69">
        <f>H508</f>
        <v>0</v>
      </c>
      <c r="I505"/>
      <c r="J505"/>
      <c r="K505"/>
      <c r="L505"/>
      <c r="M505"/>
    </row>
    <row r="506" spans="1:13" x14ac:dyDescent="0.25">
      <c r="A506" s="65"/>
      <c r="B506" s="65"/>
      <c r="C506" s="66"/>
      <c r="D506" s="67"/>
      <c r="E506" s="67"/>
      <c r="F506" s="457" t="s">
        <v>580</v>
      </c>
      <c r="G506" s="457"/>
      <c r="H506" s="69">
        <f>H504-H505</f>
        <v>647.46</v>
      </c>
      <c r="I506"/>
      <c r="J506"/>
      <c r="K506"/>
      <c r="L506"/>
      <c r="M506"/>
    </row>
    <row r="507" spans="1:13" x14ac:dyDescent="0.25">
      <c r="A507" s="65"/>
      <c r="B507" s="65"/>
      <c r="C507" s="66"/>
      <c r="D507" s="241" t="s">
        <v>1008</v>
      </c>
      <c r="E507" s="241" t="s">
        <v>1009</v>
      </c>
      <c r="F507" s="241" t="s">
        <v>1010</v>
      </c>
      <c r="G507" s="241" t="s">
        <v>1011</v>
      </c>
      <c r="H507" s="75"/>
      <c r="I507"/>
      <c r="J507"/>
      <c r="K507"/>
      <c r="L507"/>
      <c r="M507"/>
    </row>
    <row r="508" spans="1:13" x14ac:dyDescent="0.25">
      <c r="A508"/>
      <c r="B508" s="366" t="s">
        <v>1085</v>
      </c>
      <c r="C508"/>
      <c r="D508"/>
      <c r="E508"/>
      <c r="F508"/>
      <c r="G508"/>
      <c r="H508" s="96"/>
      <c r="I508"/>
      <c r="J508"/>
      <c r="K508"/>
      <c r="L508"/>
      <c r="M508"/>
    </row>
    <row r="509" spans="1:13" x14ac:dyDescent="0.25">
      <c r="A509"/>
      <c r="B509"/>
      <c r="C509"/>
      <c r="D509"/>
      <c r="E509"/>
      <c r="F509"/>
      <c r="G509"/>
      <c r="H509"/>
      <c r="I509"/>
      <c r="J509"/>
      <c r="K509"/>
      <c r="L509"/>
      <c r="M509"/>
    </row>
    <row r="510" spans="1:13" x14ac:dyDescent="0.25">
      <c r="A510"/>
      <c r="B510"/>
      <c r="C510"/>
      <c r="D510"/>
      <c r="E510"/>
      <c r="F510"/>
      <c r="G510"/>
      <c r="H510"/>
      <c r="I510"/>
      <c r="J510"/>
      <c r="K510"/>
      <c r="L510"/>
      <c r="M510"/>
    </row>
    <row r="511" spans="1:13" x14ac:dyDescent="0.25">
      <c r="A511"/>
      <c r="B511"/>
      <c r="C511"/>
      <c r="D511"/>
      <c r="E511"/>
      <c r="F511"/>
      <c r="G511"/>
      <c r="H511"/>
      <c r="I511"/>
      <c r="J511"/>
      <c r="K511"/>
      <c r="L511"/>
      <c r="M511"/>
    </row>
    <row r="512" spans="1:13" x14ac:dyDescent="0.25">
      <c r="A512"/>
      <c r="B512"/>
      <c r="C512"/>
      <c r="D512"/>
      <c r="E512"/>
      <c r="F512"/>
      <c r="G512"/>
      <c r="H512"/>
      <c r="I512"/>
      <c r="J512"/>
      <c r="K512"/>
      <c r="L512"/>
      <c r="M512"/>
    </row>
    <row r="513" spans="1:13" ht="26.4" x14ac:dyDescent="0.25">
      <c r="A513" s="80" t="s">
        <v>661</v>
      </c>
      <c r="B513" s="81"/>
      <c r="C513" s="82" t="str">
        <f>VLOOKUP(A513,'[2]Orçamento Sintético'!A:J,4,0)</f>
        <v>VERGA PRÉ-MOLDADA PARA JANELAS COM MAIS DE 1,5 M DE VÃO. AF_03/2016</v>
      </c>
      <c r="D513" s="81"/>
      <c r="E513" s="81" t="str">
        <f>VLOOKUP(A513,'[2]Orçamento Sintético'!A:J,5,0)</f>
        <v>M</v>
      </c>
      <c r="F513" s="462" t="s">
        <v>1084</v>
      </c>
      <c r="G513" s="462"/>
      <c r="H513" s="85">
        <f>H523+H524+H525+H526+H527+H528+H529+H530+H531</f>
        <v>115.80000000000001</v>
      </c>
      <c r="I513" s="216"/>
      <c r="J513"/>
      <c r="K513"/>
      <c r="L513"/>
      <c r="M513"/>
    </row>
    <row r="514" spans="1:13" x14ac:dyDescent="0.25">
      <c r="A514" s="65"/>
      <c r="B514" s="65"/>
      <c r="C514" s="66"/>
      <c r="D514" s="67"/>
      <c r="E514" s="67"/>
      <c r="F514" s="463" t="s">
        <v>578</v>
      </c>
      <c r="G514" s="464"/>
      <c r="H514" s="377">
        <f>H520+H521+H522</f>
        <v>116.20000000000002</v>
      </c>
      <c r="I514"/>
      <c r="J514"/>
      <c r="K514"/>
      <c r="L514"/>
      <c r="M514"/>
    </row>
    <row r="515" spans="1:13" x14ac:dyDescent="0.25">
      <c r="A515" s="65"/>
      <c r="B515" s="65"/>
      <c r="C515" s="66"/>
      <c r="D515" s="67"/>
      <c r="E515" s="67"/>
      <c r="F515" s="456" t="s">
        <v>579</v>
      </c>
      <c r="G515" s="456"/>
      <c r="H515" s="377">
        <f>VLOOKUP(A513,'[2]Orçamento Sintético'!A:J,6,0)</f>
        <v>232</v>
      </c>
      <c r="I515"/>
      <c r="J515"/>
      <c r="K515"/>
      <c r="L515"/>
      <c r="M515"/>
    </row>
    <row r="516" spans="1:13" x14ac:dyDescent="0.25">
      <c r="A516" s="65"/>
      <c r="B516" s="65"/>
      <c r="C516" s="66"/>
      <c r="D516" s="67"/>
      <c r="E516" s="67"/>
      <c r="F516" s="456" t="s">
        <v>596</v>
      </c>
      <c r="G516" s="456"/>
      <c r="H516" s="264">
        <f>SUM(H523:H531)</f>
        <v>115.80000000000001</v>
      </c>
      <c r="I516"/>
      <c r="J516"/>
      <c r="K516"/>
      <c r="L516"/>
      <c r="M516"/>
    </row>
    <row r="517" spans="1:13" ht="37.5" customHeight="1" x14ac:dyDescent="0.25">
      <c r="A517" s="65"/>
      <c r="B517" s="65"/>
      <c r="C517" s="66"/>
      <c r="D517" s="67"/>
      <c r="E517" s="67"/>
      <c r="F517" s="457" t="s">
        <v>580</v>
      </c>
      <c r="G517" s="457"/>
      <c r="H517" s="264">
        <f>H515-(H514+H516)</f>
        <v>0</v>
      </c>
      <c r="I517"/>
      <c r="J517"/>
      <c r="K517"/>
      <c r="L517"/>
      <c r="M517"/>
    </row>
    <row r="518" spans="1:13" x14ac:dyDescent="0.25">
      <c r="A518" s="65"/>
      <c r="B518" s="65"/>
      <c r="C518" s="66"/>
      <c r="D518" s="70" t="s">
        <v>971</v>
      </c>
      <c r="E518" s="70" t="s">
        <v>978</v>
      </c>
      <c r="F518" s="70" t="s">
        <v>977</v>
      </c>
      <c r="G518" s="71" t="s">
        <v>584</v>
      </c>
      <c r="H518" s="378"/>
      <c r="I518"/>
      <c r="J518"/>
      <c r="K518"/>
      <c r="L518"/>
      <c r="M518"/>
    </row>
    <row r="519" spans="1:13" x14ac:dyDescent="0.25">
      <c r="A519"/>
      <c r="B519"/>
      <c r="C519"/>
      <c r="D519"/>
      <c r="E519"/>
      <c r="F519"/>
      <c r="G519"/>
      <c r="H519" s="379"/>
      <c r="I519"/>
      <c r="J519"/>
      <c r="K519"/>
      <c r="L519"/>
      <c r="M519"/>
    </row>
    <row r="520" spans="1:13" hidden="1" x14ac:dyDescent="0.25">
      <c r="A520"/>
      <c r="B520" s="506" t="s">
        <v>980</v>
      </c>
      <c r="C520" s="182" t="s">
        <v>1050</v>
      </c>
      <c r="D520">
        <v>2.2000000000000002</v>
      </c>
      <c r="E520">
        <v>0.6</v>
      </c>
      <c r="F520"/>
      <c r="G520" s="182">
        <f>12+12</f>
        <v>24</v>
      </c>
      <c r="H520" s="379">
        <f t="shared" ref="H520:H530" si="18">(D520+E520)*G520</f>
        <v>67.2</v>
      </c>
      <c r="I520"/>
      <c r="J520"/>
      <c r="K520"/>
      <c r="L520"/>
      <c r="M520"/>
    </row>
    <row r="521" spans="1:13" hidden="1" x14ac:dyDescent="0.25">
      <c r="A521"/>
      <c r="B521" s="506"/>
      <c r="C521" s="182" t="s">
        <v>1051</v>
      </c>
      <c r="D521">
        <v>0.8</v>
      </c>
      <c r="E521">
        <v>0.6</v>
      </c>
      <c r="F521"/>
      <c r="G521">
        <f>3</f>
        <v>3</v>
      </c>
      <c r="H521" s="379">
        <f t="shared" si="18"/>
        <v>4.1999999999999993</v>
      </c>
      <c r="I521"/>
      <c r="J521"/>
      <c r="K521"/>
      <c r="L521"/>
      <c r="M521"/>
    </row>
    <row r="522" spans="1:13" ht="27.6" hidden="1" x14ac:dyDescent="0.25">
      <c r="A522"/>
      <c r="B522" s="506"/>
      <c r="C522" s="236" t="s">
        <v>1052</v>
      </c>
      <c r="D522">
        <v>2.2000000000000002</v>
      </c>
      <c r="E522">
        <v>0.6</v>
      </c>
      <c r="F522"/>
      <c r="G522">
        <f>8*2</f>
        <v>16</v>
      </c>
      <c r="H522" s="379">
        <f t="shared" si="18"/>
        <v>44.800000000000004</v>
      </c>
      <c r="I522"/>
      <c r="J522"/>
      <c r="K522"/>
      <c r="L522"/>
      <c r="M522"/>
    </row>
    <row r="523" spans="1:13" ht="27.6" x14ac:dyDescent="0.25">
      <c r="A523"/>
      <c r="B523" s="544" t="s">
        <v>1085</v>
      </c>
      <c r="C523" s="236" t="s">
        <v>1096</v>
      </c>
      <c r="D523">
        <v>2.2000000000000002</v>
      </c>
      <c r="E523">
        <v>0.6</v>
      </c>
      <c r="F523"/>
      <c r="G523">
        <f>8*2</f>
        <v>16</v>
      </c>
      <c r="H523" s="379">
        <f t="shared" si="18"/>
        <v>44.800000000000004</v>
      </c>
      <c r="I523"/>
      <c r="J523"/>
      <c r="K523"/>
      <c r="L523"/>
      <c r="M523"/>
    </row>
    <row r="524" spans="1:13" x14ac:dyDescent="0.25">
      <c r="A524"/>
      <c r="B524" s="544"/>
      <c r="C524" s="182" t="s">
        <v>1051</v>
      </c>
      <c r="D524">
        <v>0.8</v>
      </c>
      <c r="E524">
        <v>0.6</v>
      </c>
      <c r="F524"/>
      <c r="G524">
        <v>4</v>
      </c>
      <c r="H524" s="379">
        <f t="shared" si="18"/>
        <v>5.6</v>
      </c>
      <c r="I524"/>
      <c r="J524"/>
      <c r="K524"/>
      <c r="L524"/>
      <c r="M524"/>
    </row>
    <row r="525" spans="1:13" x14ac:dyDescent="0.25">
      <c r="A525"/>
      <c r="B525" s="544"/>
      <c r="C525" s="182" t="s">
        <v>1097</v>
      </c>
      <c r="D525">
        <v>0.6</v>
      </c>
      <c r="E525">
        <v>0.6</v>
      </c>
      <c r="F525"/>
      <c r="G525">
        <v>6</v>
      </c>
      <c r="H525" s="379">
        <f t="shared" si="18"/>
        <v>7.1999999999999993</v>
      </c>
      <c r="I525"/>
      <c r="J525"/>
      <c r="K525"/>
      <c r="L525"/>
      <c r="M525"/>
    </row>
    <row r="526" spans="1:13" x14ac:dyDescent="0.25">
      <c r="A526"/>
      <c r="B526" s="544"/>
      <c r="C526" s="182" t="s">
        <v>1098</v>
      </c>
      <c r="D526">
        <v>1</v>
      </c>
      <c r="E526">
        <v>0.6</v>
      </c>
      <c r="F526"/>
      <c r="G526">
        <v>10</v>
      </c>
      <c r="H526" s="379">
        <f t="shared" si="18"/>
        <v>16</v>
      </c>
      <c r="I526"/>
      <c r="J526"/>
      <c r="K526"/>
      <c r="L526"/>
      <c r="M526"/>
    </row>
    <row r="527" spans="1:13" ht="14.25" customHeight="1" x14ac:dyDescent="0.25">
      <c r="A527"/>
      <c r="B527" s="544"/>
      <c r="C527" s="182" t="s">
        <v>1099</v>
      </c>
      <c r="D527">
        <v>1.5</v>
      </c>
      <c r="E527">
        <v>0.6</v>
      </c>
      <c r="F527"/>
      <c r="G527">
        <v>2</v>
      </c>
      <c r="H527" s="379">
        <f t="shared" si="18"/>
        <v>4.2</v>
      </c>
      <c r="I527"/>
      <c r="J527"/>
      <c r="K527"/>
      <c r="L527"/>
      <c r="M527"/>
    </row>
    <row r="528" spans="1:13" ht="14.25" customHeight="1" x14ac:dyDescent="0.25">
      <c r="A528"/>
      <c r="B528" s="544"/>
      <c r="C528" s="182" t="s">
        <v>1100</v>
      </c>
      <c r="D528">
        <v>1.2</v>
      </c>
      <c r="E528">
        <v>0.6</v>
      </c>
      <c r="F528"/>
      <c r="G528">
        <v>10</v>
      </c>
      <c r="H528" s="379">
        <f t="shared" si="18"/>
        <v>18</v>
      </c>
      <c r="I528"/>
      <c r="J528"/>
      <c r="K528"/>
      <c r="L528"/>
      <c r="M528"/>
    </row>
    <row r="529" spans="1:13" x14ac:dyDescent="0.25">
      <c r="A529"/>
      <c r="B529" s="544"/>
      <c r="C529" s="182" t="s">
        <v>1101</v>
      </c>
      <c r="D529">
        <v>0.8</v>
      </c>
      <c r="E529">
        <v>0.6</v>
      </c>
      <c r="F529"/>
      <c r="G529">
        <v>8</v>
      </c>
      <c r="H529" s="379">
        <f t="shared" si="18"/>
        <v>11.2</v>
      </c>
      <c r="I529"/>
      <c r="J529"/>
      <c r="K529"/>
      <c r="L529"/>
      <c r="M529"/>
    </row>
    <row r="530" spans="1:13" x14ac:dyDescent="0.25">
      <c r="A530"/>
      <c r="B530" s="544"/>
      <c r="C530" s="182" t="s">
        <v>1102</v>
      </c>
      <c r="D530">
        <v>0.6</v>
      </c>
      <c r="E530">
        <v>0.6</v>
      </c>
      <c r="F530"/>
      <c r="G530">
        <v>1</v>
      </c>
      <c r="H530" s="379">
        <f t="shared" si="18"/>
        <v>1.2</v>
      </c>
      <c r="I530"/>
      <c r="J530"/>
      <c r="K530"/>
      <c r="L530"/>
      <c r="M530"/>
    </row>
    <row r="531" spans="1:13" x14ac:dyDescent="0.25">
      <c r="A531"/>
      <c r="B531" s="544"/>
      <c r="C531" s="182" t="s">
        <v>1103</v>
      </c>
      <c r="D531"/>
      <c r="E531"/>
      <c r="F531"/>
      <c r="G531">
        <v>7.6</v>
      </c>
      <c r="H531" s="379">
        <f>G531</f>
        <v>7.6</v>
      </c>
      <c r="I531"/>
      <c r="J531"/>
      <c r="K531"/>
      <c r="L531"/>
      <c r="M531"/>
    </row>
    <row r="532" spans="1:13" x14ac:dyDescent="0.25">
      <c r="A532"/>
      <c r="B532"/>
      <c r="C532"/>
      <c r="D532"/>
      <c r="E532"/>
      <c r="F532"/>
      <c r="G532"/>
      <c r="H532"/>
      <c r="I532"/>
      <c r="J532"/>
      <c r="K532"/>
      <c r="L532"/>
      <c r="M532"/>
    </row>
    <row r="533" spans="1:13" ht="14.25" customHeight="1" x14ac:dyDescent="0.25">
      <c r="A533"/>
      <c r="B533"/>
      <c r="C533"/>
      <c r="D533"/>
      <c r="E533"/>
      <c r="F533"/>
      <c r="G533"/>
      <c r="H533"/>
      <c r="I533"/>
      <c r="J533"/>
      <c r="K533"/>
      <c r="L533"/>
      <c r="M533"/>
    </row>
    <row r="534" spans="1:13" ht="39.6" x14ac:dyDescent="0.25">
      <c r="A534" s="80" t="s">
        <v>662</v>
      </c>
      <c r="B534" s="81"/>
      <c r="C534" s="82" t="str">
        <f>VLOOKUP(A534,'[2]Orçamento Sintético'!A:J,4,0)</f>
        <v>ALVENARIA DE VEDAÇÃO DE BLOCOS CERÂMICOS FURADOS NA VERTICAL DE 9X19X39 CM (ESPESSURA 9 CM) E ARGAMASSA DE ASSENTAMENTO COM PREPARO EM BETONEIRA. AF_12/2021</v>
      </c>
      <c r="D534" s="81"/>
      <c r="E534" s="81" t="str">
        <f>VLOOKUP(A534,'[2]Orçamento Sintético'!A:J,5,0)</f>
        <v>m²</v>
      </c>
      <c r="F534" s="462" t="s">
        <v>1084</v>
      </c>
      <c r="G534" s="462"/>
      <c r="H534" s="85">
        <f>H547</f>
        <v>748.97399999999993</v>
      </c>
      <c r="I534"/>
      <c r="J534"/>
      <c r="K534"/>
      <c r="L534"/>
      <c r="M534"/>
    </row>
    <row r="535" spans="1:13" ht="14.25" customHeight="1" x14ac:dyDescent="0.25">
      <c r="A535" s="65"/>
      <c r="B535" s="65"/>
      <c r="C535" s="66"/>
      <c r="D535" s="67"/>
      <c r="E535" s="67"/>
      <c r="F535" s="463" t="s">
        <v>578</v>
      </c>
      <c r="G535" s="464"/>
      <c r="H535" s="380">
        <f>H540+H541+H542</f>
        <v>65.543999999999997</v>
      </c>
      <c r="I535"/>
      <c r="J535"/>
      <c r="K535"/>
      <c r="L535"/>
      <c r="M535"/>
    </row>
    <row r="536" spans="1:13" ht="37.5" customHeight="1" x14ac:dyDescent="0.25">
      <c r="A536" s="65"/>
      <c r="B536" s="65"/>
      <c r="C536" s="66"/>
      <c r="D536" s="67"/>
      <c r="E536" s="67"/>
      <c r="F536" s="456" t="s">
        <v>579</v>
      </c>
      <c r="G536" s="456"/>
      <c r="H536" s="380">
        <f>VLOOKUP(A534,'[2]Orçamento Sintético'!A:J,6,0)</f>
        <v>914.03</v>
      </c>
      <c r="I536"/>
      <c r="J536"/>
      <c r="K536"/>
      <c r="L536"/>
      <c r="M536"/>
    </row>
    <row r="537" spans="1:13" x14ac:dyDescent="0.25">
      <c r="A537" s="65"/>
      <c r="B537" s="65"/>
      <c r="C537" s="66"/>
      <c r="D537" s="67"/>
      <c r="E537" s="67"/>
      <c r="F537" s="456" t="s">
        <v>596</v>
      </c>
      <c r="G537" s="456"/>
      <c r="H537" s="381">
        <f>SUM(H547)</f>
        <v>748.97399999999993</v>
      </c>
      <c r="I537"/>
      <c r="J537"/>
      <c r="K537"/>
      <c r="L537"/>
      <c r="M537"/>
    </row>
    <row r="538" spans="1:13" x14ac:dyDescent="0.25">
      <c r="A538" s="65"/>
      <c r="B538" s="65"/>
      <c r="C538" s="66"/>
      <c r="D538" s="67"/>
      <c r="E538" s="67"/>
      <c r="F538" s="457" t="s">
        <v>580</v>
      </c>
      <c r="G538" s="457"/>
      <c r="H538" s="381">
        <f>H536-(H535+H537)</f>
        <v>99.512000000000057</v>
      </c>
      <c r="I538"/>
      <c r="J538"/>
      <c r="K538"/>
      <c r="L538"/>
      <c r="M538"/>
    </row>
    <row r="539" spans="1:13" x14ac:dyDescent="0.25">
      <c r="A539" s="65"/>
      <c r="B539" s="65"/>
      <c r="C539" s="66"/>
      <c r="D539" s="70" t="s">
        <v>971</v>
      </c>
      <c r="E539" s="70" t="s">
        <v>972</v>
      </c>
      <c r="F539" s="70" t="s">
        <v>976</v>
      </c>
      <c r="G539" s="71" t="s">
        <v>584</v>
      </c>
      <c r="H539" s="382"/>
      <c r="I539"/>
      <c r="J539"/>
      <c r="K539"/>
      <c r="L539"/>
      <c r="M539"/>
    </row>
    <row r="540" spans="1:13" hidden="1" x14ac:dyDescent="0.25">
      <c r="A540" s="65"/>
      <c r="B540" s="72" t="s">
        <v>612</v>
      </c>
      <c r="C540" s="66" t="s">
        <v>876</v>
      </c>
      <c r="D540" s="67"/>
      <c r="E540" s="67">
        <v>1.2</v>
      </c>
      <c r="F540" s="73">
        <v>2.5299999999999998</v>
      </c>
      <c r="G540" s="98">
        <v>8</v>
      </c>
      <c r="H540" s="383">
        <f>G540*F540*E540</f>
        <v>24.287999999999997</v>
      </c>
      <c r="I540"/>
      <c r="J540"/>
      <c r="K540"/>
      <c r="L540"/>
      <c r="M540"/>
    </row>
    <row r="541" spans="1:13" ht="14.25" hidden="1" customHeight="1" x14ac:dyDescent="0.25">
      <c r="A541" s="65"/>
      <c r="B541" s="72"/>
      <c r="C541" s="66"/>
      <c r="D541" s="67"/>
      <c r="E541" s="67">
        <v>1.2</v>
      </c>
      <c r="F541" s="73">
        <v>3.82</v>
      </c>
      <c r="G541" s="98">
        <v>6</v>
      </c>
      <c r="H541" s="383">
        <f t="shared" ref="H541:H542" si="19">G541*F541*E541</f>
        <v>27.503999999999998</v>
      </c>
      <c r="I541"/>
      <c r="J541"/>
      <c r="K541"/>
      <c r="L541"/>
      <c r="M541"/>
    </row>
    <row r="542" spans="1:13" ht="14.25" hidden="1" customHeight="1" x14ac:dyDescent="0.25">
      <c r="A542" s="65"/>
      <c r="B542" s="72"/>
      <c r="C542" s="66"/>
      <c r="D542" s="67"/>
      <c r="E542" s="67">
        <v>0.6</v>
      </c>
      <c r="F542" s="73">
        <v>3.82</v>
      </c>
      <c r="G542" s="98">
        <v>6</v>
      </c>
      <c r="H542" s="383">
        <f t="shared" si="19"/>
        <v>13.751999999999999</v>
      </c>
      <c r="I542"/>
      <c r="J542"/>
      <c r="K542"/>
      <c r="L542"/>
      <c r="M542"/>
    </row>
    <row r="543" spans="1:13" ht="14.25" hidden="1" customHeight="1" x14ac:dyDescent="0.25">
      <c r="A543" s="65"/>
      <c r="B543" s="72"/>
      <c r="C543" s="66"/>
      <c r="D543" s="67"/>
      <c r="E543" s="67"/>
      <c r="F543" s="73"/>
      <c r="G543" s="98"/>
      <c r="H543" s="383"/>
      <c r="I543"/>
      <c r="J543"/>
      <c r="K543"/>
      <c r="L543"/>
      <c r="M543"/>
    </row>
    <row r="544" spans="1:13" ht="14.25" hidden="1" customHeight="1" x14ac:dyDescent="0.25">
      <c r="A544" s="65"/>
      <c r="B544" s="506" t="s">
        <v>980</v>
      </c>
      <c r="C544" s="66" t="s">
        <v>1053</v>
      </c>
      <c r="D544" s="67">
        <v>2.5299999999999998</v>
      </c>
      <c r="E544" s="67">
        <f>2.6-1.2</f>
        <v>1.4000000000000001</v>
      </c>
      <c r="F544" s="73"/>
      <c r="G544" s="98">
        <v>8</v>
      </c>
      <c r="H544" s="383">
        <f>E544*D544*G544</f>
        <v>28.336000000000002</v>
      </c>
      <c r="I544"/>
      <c r="J544"/>
      <c r="K544"/>
      <c r="L544">
        <v>165.065</v>
      </c>
      <c r="M544"/>
    </row>
    <row r="545" spans="1:13" ht="14.25" hidden="1" customHeight="1" x14ac:dyDescent="0.25">
      <c r="A545" s="65"/>
      <c r="B545" s="506"/>
      <c r="C545" s="66" t="s">
        <v>1054</v>
      </c>
      <c r="D545" s="67">
        <v>3.82</v>
      </c>
      <c r="E545" s="67">
        <v>1.4</v>
      </c>
      <c r="F545" s="73"/>
      <c r="G545" s="98">
        <v>8</v>
      </c>
      <c r="H545" s="383">
        <f>E545*D545*G545</f>
        <v>42.783999999999999</v>
      </c>
      <c r="I545"/>
      <c r="J545"/>
      <c r="K545"/>
      <c r="L545"/>
      <c r="M545"/>
    </row>
    <row r="546" spans="1:13" ht="14.25" hidden="1" customHeight="1" x14ac:dyDescent="0.25">
      <c r="A546" s="65"/>
      <c r="B546" s="506"/>
      <c r="C546" s="66" t="s">
        <v>1055</v>
      </c>
      <c r="D546" s="67">
        <f>2.535*2</f>
        <v>5.07</v>
      </c>
      <c r="E546" s="67">
        <v>1.4</v>
      </c>
      <c r="F546" s="73"/>
      <c r="G546" s="98">
        <v>4</v>
      </c>
      <c r="H546" s="383">
        <f>E546*D546*G546</f>
        <v>28.391999999999999</v>
      </c>
      <c r="I546"/>
      <c r="J546"/>
      <c r="K546"/>
      <c r="L546"/>
      <c r="M546"/>
    </row>
    <row r="547" spans="1:13" ht="14.25" customHeight="1" x14ac:dyDescent="0.25">
      <c r="A547" s="65"/>
      <c r="B547" s="365" t="s">
        <v>1085</v>
      </c>
      <c r="C547" s="66" t="s">
        <v>1104</v>
      </c>
      <c r="D547" s="67"/>
      <c r="E547" s="67"/>
      <c r="F547" s="73"/>
      <c r="G547" s="98">
        <f>308.769+128.426+116.829+359.9+0.115</f>
        <v>914.03899999999999</v>
      </c>
      <c r="H547" s="383">
        <f>G547-165.065</f>
        <v>748.97399999999993</v>
      </c>
      <c r="I547"/>
      <c r="J547"/>
      <c r="K547"/>
      <c r="L547"/>
      <c r="M547"/>
    </row>
    <row r="548" spans="1:13" x14ac:dyDescent="0.25">
      <c r="A548" s="65"/>
      <c r="B548" s="72"/>
      <c r="C548" s="66"/>
      <c r="D548" s="67"/>
      <c r="E548" s="67"/>
      <c r="F548" s="73"/>
      <c r="G548" s="98"/>
      <c r="H548" s="383"/>
      <c r="I548"/>
      <c r="J548"/>
      <c r="K548"/>
      <c r="L548"/>
      <c r="M548"/>
    </row>
    <row r="549" spans="1:13" ht="14.25" customHeight="1" x14ac:dyDescent="0.25">
      <c r="A549"/>
      <c r="B549"/>
      <c r="C549"/>
      <c r="D549"/>
      <c r="E549"/>
      <c r="F549"/>
      <c r="G549"/>
      <c r="H549" s="95"/>
      <c r="I549" s="86"/>
      <c r="J549" s="86"/>
      <c r="K549" s="86"/>
      <c r="L549" s="86"/>
      <c r="M549" s="86"/>
    </row>
    <row r="550" spans="1:13" ht="14.25" hidden="1" customHeight="1" x14ac:dyDescent="0.25">
      <c r="A550"/>
      <c r="B550" s="507" t="s">
        <v>1066</v>
      </c>
      <c r="C550" s="182" t="s">
        <v>1064</v>
      </c>
      <c r="D550">
        <f>14.5+32.5</f>
        <v>47</v>
      </c>
      <c r="E550">
        <v>0.3</v>
      </c>
      <c r="F550"/>
      <c r="G550">
        <v>1</v>
      </c>
      <c r="H550">
        <f>D550*E550*G550*2</f>
        <v>28.2</v>
      </c>
      <c r="I550" s="86"/>
      <c r="J550" s="86"/>
      <c r="K550" s="86"/>
      <c r="L550" s="86"/>
      <c r="M550" s="86"/>
    </row>
    <row r="551" spans="1:13" ht="14.25" hidden="1" customHeight="1" x14ac:dyDescent="0.25">
      <c r="A551"/>
      <c r="B551" s="508"/>
      <c r="C551" s="182" t="s">
        <v>1065</v>
      </c>
      <c r="D551">
        <v>0.35</v>
      </c>
      <c r="E551">
        <v>0.83</v>
      </c>
      <c r="F551"/>
      <c r="G551">
        <v>18</v>
      </c>
      <c r="H551">
        <f>D551*E551*G551*2</f>
        <v>10.457999999999998</v>
      </c>
      <c r="I551" s="86"/>
      <c r="J551" s="86"/>
      <c r="K551" s="86"/>
      <c r="L551" s="86"/>
      <c r="M551" s="86"/>
    </row>
    <row r="552" spans="1:13" ht="14.25" customHeight="1" x14ac:dyDescent="0.25">
      <c r="A552"/>
      <c r="B552"/>
      <c r="C552"/>
      <c r="D552"/>
      <c r="E552"/>
      <c r="F552"/>
      <c r="G552"/>
      <c r="H552"/>
      <c r="I552" s="86"/>
      <c r="J552" s="86"/>
      <c r="K552" s="86"/>
      <c r="L552" s="86"/>
      <c r="M552" s="86"/>
    </row>
    <row r="553" spans="1:13" ht="14.25" customHeight="1" x14ac:dyDescent="0.25">
      <c r="A553" s="80" t="s">
        <v>698</v>
      </c>
      <c r="B553" s="81"/>
      <c r="C553" s="82" t="str">
        <f>VLOOKUP(A553,'[2]Orçamento Sintético'!A:J,4,0)</f>
        <v>CHAPISCO APLICADO EM ALVENARIAS E ESTRUTURAS DE CONCRETO INTERNAS, COM COLHER DE PEDREIRO.  ARGAMASSA TRAÇO 1:3 COM PREPARO MANUAL. AF_10/2022</v>
      </c>
      <c r="D553" s="81"/>
      <c r="E553" s="81" t="str">
        <f>VLOOKUP(A553,'[2]Orçamento Sintético'!A:J,5,0)</f>
        <v>m²</v>
      </c>
      <c r="F553" s="462" t="s">
        <v>1084</v>
      </c>
      <c r="G553" s="462"/>
      <c r="H553" s="85">
        <f>H563</f>
        <v>320</v>
      </c>
      <c r="I553"/>
      <c r="J553"/>
      <c r="K553"/>
      <c r="L553"/>
      <c r="M553"/>
    </row>
    <row r="554" spans="1:13" ht="14.25" customHeight="1" x14ac:dyDescent="0.25">
      <c r="A554" s="65"/>
      <c r="B554" s="65"/>
      <c r="C554" s="66"/>
      <c r="D554" s="67"/>
      <c r="E554" s="67"/>
      <c r="F554" s="463" t="s">
        <v>578</v>
      </c>
      <c r="G554" s="464"/>
      <c r="H554" s="377">
        <f>H559+H560+H561+H562</f>
        <v>470.18399999999997</v>
      </c>
      <c r="I554"/>
      <c r="J554"/>
      <c r="K554"/>
      <c r="L554"/>
      <c r="M554"/>
    </row>
    <row r="555" spans="1:13" ht="14.25" customHeight="1" x14ac:dyDescent="0.25">
      <c r="A555" s="65"/>
      <c r="B555" s="65"/>
      <c r="C555" s="66"/>
      <c r="D555" s="67"/>
      <c r="E555" s="67"/>
      <c r="F555" s="456" t="s">
        <v>579</v>
      </c>
      <c r="G555" s="456"/>
      <c r="H555" s="377">
        <f>VLOOKUP(A553,'[2]Orçamento Sintético'!A:J,6,0)</f>
        <v>1969.41</v>
      </c>
      <c r="I555"/>
      <c r="J555"/>
      <c r="K555"/>
      <c r="L555"/>
      <c r="M555"/>
    </row>
    <row r="556" spans="1:13" ht="14.25" customHeight="1" x14ac:dyDescent="0.25">
      <c r="A556" s="65"/>
      <c r="B556" s="65"/>
      <c r="C556" s="66"/>
      <c r="D556" s="67"/>
      <c r="E556" s="67"/>
      <c r="F556" s="456" t="s">
        <v>596</v>
      </c>
      <c r="G556" s="456"/>
      <c r="H556" s="264">
        <f>SUM(H563)</f>
        <v>320</v>
      </c>
      <c r="I556"/>
      <c r="J556"/>
      <c r="K556"/>
      <c r="L556"/>
      <c r="M556"/>
    </row>
    <row r="557" spans="1:13" ht="14.25" customHeight="1" x14ac:dyDescent="0.25">
      <c r="A557" s="65"/>
      <c r="B557" s="65"/>
      <c r="C557" s="66"/>
      <c r="D557" s="67"/>
      <c r="E557" s="67"/>
      <c r="F557" s="457" t="s">
        <v>580</v>
      </c>
      <c r="G557" s="457"/>
      <c r="H557" s="264">
        <f>H555-(H554+H556)</f>
        <v>1179.2260000000001</v>
      </c>
      <c r="I557"/>
      <c r="J557"/>
      <c r="K557"/>
      <c r="L557"/>
      <c r="M557"/>
    </row>
    <row r="558" spans="1:13" x14ac:dyDescent="0.25">
      <c r="A558" s="65"/>
      <c r="B558" s="65"/>
      <c r="C558" s="66"/>
      <c r="D558" s="70" t="s">
        <v>971</v>
      </c>
      <c r="E558" s="70" t="s">
        <v>972</v>
      </c>
      <c r="F558" s="70" t="s">
        <v>976</v>
      </c>
      <c r="G558" s="71" t="s">
        <v>584</v>
      </c>
      <c r="H558" s="378"/>
      <c r="I558"/>
      <c r="J558"/>
      <c r="K558"/>
      <c r="L558"/>
      <c r="M558"/>
    </row>
    <row r="559" spans="1:13" ht="14.25" hidden="1" customHeight="1" x14ac:dyDescent="0.25">
      <c r="A559" s="65"/>
      <c r="B559" s="506" t="s">
        <v>980</v>
      </c>
      <c r="C559" s="66" t="s">
        <v>1067</v>
      </c>
      <c r="D559" s="67">
        <f>3.81+0.4+3.82</f>
        <v>8.0299999999999994</v>
      </c>
      <c r="E559" s="67">
        <v>2.6</v>
      </c>
      <c r="F559" s="73"/>
      <c r="G559" s="98">
        <v>12</v>
      </c>
      <c r="H559" s="229">
        <f>G559*D559*E559</f>
        <v>250.53599999999997</v>
      </c>
      <c r="I559"/>
      <c r="J559"/>
      <c r="K559"/>
      <c r="L559"/>
      <c r="M559"/>
    </row>
    <row r="560" spans="1:13" ht="14.25" hidden="1" customHeight="1" x14ac:dyDescent="0.25">
      <c r="A560"/>
      <c r="B560" s="506"/>
      <c r="C560" s="66" t="s">
        <v>1068</v>
      </c>
      <c r="D560" s="67">
        <f>2.535+0.4+2.835</f>
        <v>5.77</v>
      </c>
      <c r="E560" s="67">
        <v>2.6</v>
      </c>
      <c r="F560" s="73"/>
      <c r="G560" s="98">
        <v>8</v>
      </c>
      <c r="H560" s="229">
        <f t="shared" ref="H560:H562" si="20">G560*D560*E560</f>
        <v>120.01599999999999</v>
      </c>
      <c r="I560"/>
      <c r="J560"/>
      <c r="K560"/>
      <c r="L560"/>
      <c r="M560"/>
    </row>
    <row r="561" spans="1:13" ht="14.25" hidden="1" customHeight="1" x14ac:dyDescent="0.25">
      <c r="A561"/>
      <c r="B561" s="506"/>
      <c r="C561" s="66" t="s">
        <v>1069</v>
      </c>
      <c r="D561" s="67">
        <v>3.81</v>
      </c>
      <c r="E561" s="67">
        <v>2.6</v>
      </c>
      <c r="F561" s="73"/>
      <c r="G561" s="98">
        <v>4</v>
      </c>
      <c r="H561" s="229">
        <f t="shared" si="20"/>
        <v>39.624000000000002</v>
      </c>
      <c r="I561" s="86"/>
      <c r="J561" s="86"/>
      <c r="K561" s="86"/>
      <c r="L561" s="86"/>
      <c r="M561" s="86"/>
    </row>
    <row r="562" spans="1:13" ht="14.25" hidden="1" customHeight="1" x14ac:dyDescent="0.25">
      <c r="A562"/>
      <c r="B562" s="506"/>
      <c r="C562" s="66" t="s">
        <v>1070</v>
      </c>
      <c r="D562" s="67">
        <f>2.535+0.4+2.835</f>
        <v>5.77</v>
      </c>
      <c r="E562" s="67">
        <v>2.6</v>
      </c>
      <c r="F562" s="73"/>
      <c r="G562" s="98">
        <v>4</v>
      </c>
      <c r="H562" s="229">
        <f t="shared" si="20"/>
        <v>60.007999999999996</v>
      </c>
      <c r="I562" s="86"/>
      <c r="J562" s="86"/>
      <c r="K562" s="86"/>
      <c r="L562" s="86"/>
      <c r="M562" s="86"/>
    </row>
    <row r="563" spans="1:13" ht="14.25" customHeight="1" x14ac:dyDescent="0.25">
      <c r="A563"/>
      <c r="B563" s="365" t="s">
        <v>1085</v>
      </c>
      <c r="C563" s="66" t="s">
        <v>1105</v>
      </c>
      <c r="D563" s="67"/>
      <c r="E563" s="73"/>
      <c r="F563" s="98"/>
      <c r="G563" s="384">
        <v>320</v>
      </c>
      <c r="H563" s="379">
        <f>G563</f>
        <v>320</v>
      </c>
      <c r="I563" s="86"/>
      <c r="J563" s="86"/>
      <c r="K563" s="86"/>
      <c r="L563" s="86"/>
      <c r="M563" s="86"/>
    </row>
    <row r="564" spans="1:13" ht="14.25" customHeight="1" x14ac:dyDescent="0.25">
      <c r="A564"/>
      <c r="B564"/>
      <c r="C564"/>
      <c r="D564" s="67"/>
      <c r="E564" s="73"/>
      <c r="F564" s="98"/>
      <c r="G564" s="96"/>
      <c r="H564" s="379"/>
      <c r="I564" s="86"/>
      <c r="J564" s="86"/>
      <c r="K564" s="86"/>
      <c r="L564" s="86"/>
      <c r="M564" s="86"/>
    </row>
    <row r="565" spans="1:13" ht="14.25" customHeight="1" x14ac:dyDescent="0.25">
      <c r="A565" s="80" t="s">
        <v>706</v>
      </c>
      <c r="B565" s="81"/>
      <c r="C565" s="82" t="str">
        <f>VLOOKUP(A565,'[2]Orçamento Sintético'!A:J,4,0)</f>
        <v>CONTRAPISO EM ARGAMASSA TRAÇO 1:4 (CIMENTO E AREIA), PREPARO MECÂNICO COM BETONEIRA 400 L, APLICADO EM ÁREAS SECAS SOBRE LAJE, ADERIDO, ACABAMENTO NÃO REFORÇADO, ESPESSURA 3CM. AF_07/2021</v>
      </c>
      <c r="D565" s="81"/>
      <c r="E565" s="81" t="str">
        <f>VLOOKUP(A565,'[2]Orçamento Sintético'!A:J,5,0)</f>
        <v>m²</v>
      </c>
      <c r="F565" s="462" t="s">
        <v>1084</v>
      </c>
      <c r="G565" s="462"/>
      <c r="H565" s="385">
        <f>SUM(H571:H573)</f>
        <v>410.8</v>
      </c>
      <c r="I565" s="86"/>
      <c r="J565" s="86"/>
      <c r="K565" s="86"/>
      <c r="L565" s="86"/>
      <c r="M565" s="86"/>
    </row>
    <row r="566" spans="1:13" ht="14.25" customHeight="1" x14ac:dyDescent="0.25">
      <c r="A566" s="65"/>
      <c r="B566" s="65"/>
      <c r="C566" s="66"/>
      <c r="D566" s="67"/>
      <c r="E566" s="67"/>
      <c r="F566" s="463" t="s">
        <v>578</v>
      </c>
      <c r="G566" s="464"/>
      <c r="H566" s="377">
        <v>0</v>
      </c>
      <c r="I566" s="86"/>
      <c r="J566" s="86"/>
      <c r="K566" s="86"/>
      <c r="L566" s="86"/>
      <c r="M566" s="86"/>
    </row>
    <row r="567" spans="1:13" ht="14.25" customHeight="1" x14ac:dyDescent="0.25">
      <c r="A567" s="65"/>
      <c r="B567" s="65"/>
      <c r="C567" s="66"/>
      <c r="D567" s="67"/>
      <c r="E567" s="67"/>
      <c r="F567" s="456" t="s">
        <v>579</v>
      </c>
      <c r="G567" s="456"/>
      <c r="H567" s="377">
        <f>VLOOKUP(A565,'[2]Orçamento Sintético'!A:J,6,0)</f>
        <v>814.48</v>
      </c>
      <c r="I567" s="86"/>
      <c r="J567" s="86"/>
      <c r="K567" s="86"/>
      <c r="L567" s="86"/>
      <c r="M567" s="86"/>
    </row>
    <row r="568" spans="1:13" ht="14.25" customHeight="1" x14ac:dyDescent="0.25">
      <c r="A568" s="65"/>
      <c r="B568" s="65"/>
      <c r="C568" s="66"/>
      <c r="D568" s="67"/>
      <c r="E568" s="67"/>
      <c r="F568" s="456" t="s">
        <v>596</v>
      </c>
      <c r="G568" s="456"/>
      <c r="H568" s="264">
        <f>SUM(H571:H573)</f>
        <v>410.8</v>
      </c>
      <c r="I568" s="86"/>
      <c r="J568" s="86"/>
      <c r="K568" s="86"/>
      <c r="L568" s="86"/>
      <c r="M568" s="86"/>
    </row>
    <row r="569" spans="1:13" x14ac:dyDescent="0.25">
      <c r="A569" s="65"/>
      <c r="B569" s="65"/>
      <c r="C569" s="66"/>
      <c r="D569" s="67"/>
      <c r="E569" s="67"/>
      <c r="F569" s="457" t="s">
        <v>580</v>
      </c>
      <c r="G569" s="457"/>
      <c r="H569" s="264">
        <f>H567-H568</f>
        <v>403.68</v>
      </c>
      <c r="I569" s="86"/>
      <c r="J569" s="86"/>
      <c r="K569" s="86"/>
      <c r="L569" s="86"/>
      <c r="M569" s="86"/>
    </row>
    <row r="570" spans="1:13" ht="14.25" customHeight="1" x14ac:dyDescent="0.25">
      <c r="A570" s="65"/>
      <c r="B570" s="65"/>
      <c r="C570" s="66"/>
      <c r="D570" s="241" t="s">
        <v>1008</v>
      </c>
      <c r="E570" s="241" t="s">
        <v>1106</v>
      </c>
      <c r="F570" s="241"/>
      <c r="G570" s="241" t="s">
        <v>1011</v>
      </c>
      <c r="H570" s="378"/>
      <c r="I570" s="86"/>
      <c r="J570" s="86"/>
      <c r="K570" s="86"/>
      <c r="L570" s="86"/>
      <c r="M570" s="86"/>
    </row>
    <row r="571" spans="1:13" ht="14.25" customHeight="1" x14ac:dyDescent="0.25">
      <c r="A571" s="65"/>
      <c r="B571" s="544" t="s">
        <v>1085</v>
      </c>
      <c r="C571" s="66" t="s">
        <v>1107</v>
      </c>
      <c r="D571" s="67">
        <v>8</v>
      </c>
      <c r="E571" s="67">
        <v>6</v>
      </c>
      <c r="F571" s="73"/>
      <c r="G571" s="98">
        <v>4</v>
      </c>
      <c r="H571" s="229">
        <f>G571*E571*D571</f>
        <v>192</v>
      </c>
      <c r="I571" s="86"/>
      <c r="J571" s="86"/>
      <c r="K571" s="86"/>
      <c r="L571" s="86"/>
      <c r="M571" s="86"/>
    </row>
    <row r="572" spans="1:13" ht="14.25" customHeight="1" x14ac:dyDescent="0.25">
      <c r="A572"/>
      <c r="B572" s="544"/>
      <c r="C572" s="66" t="s">
        <v>1108</v>
      </c>
      <c r="D572" s="67">
        <f>8*4</f>
        <v>32</v>
      </c>
      <c r="E572" s="73">
        <v>1.4</v>
      </c>
      <c r="F572" s="98"/>
      <c r="G572" s="384">
        <v>1</v>
      </c>
      <c r="H572" s="229">
        <f>G572*E572*D572</f>
        <v>44.8</v>
      </c>
      <c r="I572" s="86"/>
      <c r="J572" s="86"/>
      <c r="K572" s="86"/>
      <c r="L572" s="86"/>
      <c r="M572" s="86"/>
    </row>
    <row r="573" spans="1:13" ht="14.25" customHeight="1" x14ac:dyDescent="0.25">
      <c r="A573"/>
      <c r="B573" s="544"/>
      <c r="C573" t="s">
        <v>1109</v>
      </c>
      <c r="D573" s="67"/>
      <c r="E573" s="73"/>
      <c r="F573" s="98"/>
      <c r="G573" s="384">
        <v>174</v>
      </c>
      <c r="H573" s="379">
        <f>G573</f>
        <v>174</v>
      </c>
      <c r="I573" s="86"/>
      <c r="J573" s="86"/>
      <c r="K573" s="86"/>
      <c r="L573" s="86"/>
      <c r="M573" s="86"/>
    </row>
    <row r="574" spans="1:13" ht="14.25" customHeight="1" x14ac:dyDescent="0.25">
      <c r="A574"/>
      <c r="B574"/>
      <c r="C574"/>
      <c r="D574" s="67"/>
      <c r="E574" s="73"/>
      <c r="F574" s="98"/>
      <c r="G574" s="96"/>
      <c r="H574"/>
      <c r="I574" s="86"/>
      <c r="J574" s="86"/>
      <c r="K574" s="86"/>
      <c r="L574" s="86"/>
      <c r="M574" s="86"/>
    </row>
    <row r="575" spans="1:13" ht="14.25" customHeight="1" x14ac:dyDescent="0.25">
      <c r="A575" s="80" t="s">
        <v>751</v>
      </c>
      <c r="B575" s="81"/>
      <c r="C575" s="82" t="str">
        <f>VLOOKUP(A575,'[2]Orçamento Sintético'!A:J,4,0)</f>
        <v>TUBO PVC, SERIE NORMAL, ESGOTO PREDIAL, DN 40 MM, FORNECIDO E INSTALADO EM RAMAL DE DESCARGA OU RAMAL DE ESGOTO SANITÁRIO. AF_08/2022</v>
      </c>
      <c r="D575" s="81"/>
      <c r="E575" s="81" t="str">
        <f>VLOOKUP(A575,'[2]Orçamento Sintético'!A:J,5,0)</f>
        <v>M</v>
      </c>
      <c r="F575" s="462" t="s">
        <v>1084</v>
      </c>
      <c r="G575" s="462"/>
      <c r="H575" s="85">
        <f>SUM(H581:H582)</f>
        <v>28</v>
      </c>
      <c r="I575" s="86"/>
      <c r="J575" s="86"/>
      <c r="K575" s="86"/>
      <c r="L575" s="86"/>
      <c r="M575" s="86"/>
    </row>
    <row r="576" spans="1:13" ht="14.25" customHeight="1" x14ac:dyDescent="0.25">
      <c r="A576" s="65"/>
      <c r="B576" s="65"/>
      <c r="C576" s="66"/>
      <c r="D576" s="67"/>
      <c r="E576" s="67"/>
      <c r="F576" s="463" t="s">
        <v>578</v>
      </c>
      <c r="G576" s="464"/>
      <c r="H576" s="68">
        <v>0</v>
      </c>
      <c r="I576" s="86"/>
      <c r="J576" s="86"/>
      <c r="K576" s="86"/>
      <c r="L576" s="86"/>
      <c r="M576" s="86"/>
    </row>
    <row r="577" spans="1:13" ht="14.25" customHeight="1" x14ac:dyDescent="0.25">
      <c r="A577" s="65"/>
      <c r="B577" s="65"/>
      <c r="C577" s="66"/>
      <c r="D577" s="67"/>
      <c r="E577" s="67"/>
      <c r="F577" s="456" t="s">
        <v>579</v>
      </c>
      <c r="G577" s="456"/>
      <c r="H577" s="377">
        <f>VLOOKUP(A575,'[2]Orçamento Sintético'!A:J,6,0)</f>
        <v>28</v>
      </c>
      <c r="I577" s="86"/>
      <c r="J577" s="86"/>
      <c r="K577" s="86"/>
      <c r="L577" s="86"/>
      <c r="M577" s="86"/>
    </row>
    <row r="578" spans="1:13" ht="14.25" customHeight="1" x14ac:dyDescent="0.25">
      <c r="A578" s="65"/>
      <c r="B578" s="65"/>
      <c r="C578" s="66"/>
      <c r="D578" s="67"/>
      <c r="E578" s="67"/>
      <c r="F578" s="456" t="s">
        <v>596</v>
      </c>
      <c r="G578" s="456"/>
      <c r="H578" s="264">
        <f>SUM(H581:H582)</f>
        <v>28</v>
      </c>
      <c r="I578" s="86"/>
      <c r="J578" s="86"/>
      <c r="K578" s="86"/>
      <c r="L578" s="86"/>
      <c r="M578" s="86"/>
    </row>
    <row r="579" spans="1:13" ht="14.25" customHeight="1" x14ac:dyDescent="0.25">
      <c r="A579" s="65"/>
      <c r="B579" s="65"/>
      <c r="C579" s="66"/>
      <c r="D579" s="67"/>
      <c r="E579" s="67"/>
      <c r="F579" s="457" t="s">
        <v>580</v>
      </c>
      <c r="G579" s="457"/>
      <c r="H579" s="264">
        <f>H577-H578</f>
        <v>0</v>
      </c>
      <c r="I579" s="86"/>
      <c r="J579" s="86"/>
      <c r="K579" s="86"/>
      <c r="L579" s="86"/>
      <c r="M579" s="86"/>
    </row>
    <row r="580" spans="1:13" x14ac:dyDescent="0.25">
      <c r="A580" s="65"/>
      <c r="B580" s="65"/>
      <c r="C580" s="66"/>
      <c r="D580" s="241" t="s">
        <v>1008</v>
      </c>
      <c r="E580" s="241" t="s">
        <v>1106</v>
      </c>
      <c r="F580" s="241"/>
      <c r="G580" s="241" t="s">
        <v>1011</v>
      </c>
      <c r="H580" s="75"/>
      <c r="I580" s="86"/>
      <c r="J580" s="86"/>
      <c r="K580" s="86"/>
      <c r="L580" s="86"/>
      <c r="M580" s="86"/>
    </row>
    <row r="581" spans="1:13" ht="14.25" customHeight="1" x14ac:dyDescent="0.25">
      <c r="A581" s="65"/>
      <c r="B581" s="544" t="s">
        <v>1085</v>
      </c>
      <c r="C581" s="66" t="s">
        <v>1110</v>
      </c>
      <c r="D581" s="67"/>
      <c r="E581" s="67"/>
      <c r="F581" s="73"/>
      <c r="G581" s="98">
        <v>28</v>
      </c>
      <c r="H581" s="229">
        <f>G581</f>
        <v>28</v>
      </c>
      <c r="I581" s="86"/>
      <c r="J581" s="86"/>
      <c r="K581" s="86"/>
      <c r="L581" s="86"/>
      <c r="M581" s="86"/>
    </row>
    <row r="582" spans="1:13" ht="14.25" customHeight="1" x14ac:dyDescent="0.25">
      <c r="A582"/>
      <c r="B582" s="544"/>
      <c r="C582" s="66"/>
      <c r="D582" s="67"/>
      <c r="E582" s="73"/>
      <c r="F582" s="98"/>
      <c r="G582" s="96"/>
      <c r="H582" s="96"/>
      <c r="I582" s="86"/>
      <c r="J582" s="86"/>
      <c r="K582" s="86"/>
      <c r="L582" s="86"/>
      <c r="M582" s="86"/>
    </row>
    <row r="583" spans="1:13" ht="14.25" customHeight="1" x14ac:dyDescent="0.25">
      <c r="A583"/>
      <c r="B583"/>
      <c r="C583"/>
      <c r="D583" s="67"/>
      <c r="E583" s="73"/>
      <c r="F583" s="98"/>
      <c r="G583" s="96"/>
      <c r="H583"/>
      <c r="I583" s="86"/>
      <c r="J583" s="86"/>
      <c r="K583" s="86"/>
      <c r="L583" s="86"/>
      <c r="M583" s="86"/>
    </row>
    <row r="584" spans="1:13" ht="14.25" customHeight="1" x14ac:dyDescent="0.25">
      <c r="A584"/>
      <c r="B584"/>
      <c r="C584"/>
      <c r="D584" s="67"/>
      <c r="E584" s="73"/>
      <c r="F584" s="98"/>
      <c r="G584" s="96"/>
      <c r="H584"/>
      <c r="I584" s="86"/>
      <c r="J584" s="86"/>
      <c r="K584" s="86"/>
      <c r="L584" s="86"/>
      <c r="M584" s="86"/>
    </row>
    <row r="585" spans="1:13" ht="14.25" customHeight="1" x14ac:dyDescent="0.25">
      <c r="A585"/>
      <c r="B585"/>
      <c r="C585"/>
      <c r="D585" s="67"/>
      <c r="E585" s="73"/>
      <c r="F585" s="98"/>
      <c r="G585" s="96"/>
      <c r="H585"/>
      <c r="I585" s="86"/>
      <c r="J585" s="86"/>
      <c r="K585" s="86"/>
      <c r="L585" s="86"/>
      <c r="M585" s="86"/>
    </row>
    <row r="586" spans="1:13" ht="14.25" customHeight="1" x14ac:dyDescent="0.25">
      <c r="A586" s="80" t="s">
        <v>752</v>
      </c>
      <c r="B586" s="81"/>
      <c r="C586" s="82" t="str">
        <f>VLOOKUP(A586,'[2]Orçamento Sintético'!A:J,4,0)</f>
        <v>TUBO PVC, SERIE NORMAL, ESGOTO PREDIAL, DN 50 MM, FORNECIDO E INSTALADO EM RAMAL DE DESCARGA OU RAMAL DE ESGOTO SANITÁRIO. AF_08/2022</v>
      </c>
      <c r="D586" s="81"/>
      <c r="E586" s="81" t="str">
        <f>VLOOKUP(A586,'[2]Orçamento Sintético'!A:J,5,0)</f>
        <v>M</v>
      </c>
      <c r="F586" s="462" t="s">
        <v>1084</v>
      </c>
      <c r="G586" s="462"/>
      <c r="H586" s="85">
        <f>SUM(H592:H593)</f>
        <v>10</v>
      </c>
      <c r="I586" s="86"/>
      <c r="J586" s="86"/>
      <c r="K586" s="86"/>
      <c r="L586" s="86"/>
      <c r="M586" s="86"/>
    </row>
    <row r="587" spans="1:13" ht="14.25" customHeight="1" x14ac:dyDescent="0.25">
      <c r="A587" s="65"/>
      <c r="B587" s="65"/>
      <c r="C587" s="66"/>
      <c r="D587" s="67"/>
      <c r="E587" s="67"/>
      <c r="F587" s="463" t="s">
        <v>578</v>
      </c>
      <c r="G587" s="464"/>
      <c r="H587" s="377">
        <v>0</v>
      </c>
      <c r="I587" s="86"/>
      <c r="J587" s="86"/>
      <c r="K587" s="86"/>
      <c r="L587" s="86"/>
      <c r="M587" s="86"/>
    </row>
    <row r="588" spans="1:13" ht="14.25" customHeight="1" x14ac:dyDescent="0.25">
      <c r="A588" s="65"/>
      <c r="B588" s="65"/>
      <c r="C588" s="66"/>
      <c r="D588" s="67"/>
      <c r="E588" s="67"/>
      <c r="F588" s="456" t="s">
        <v>579</v>
      </c>
      <c r="G588" s="456"/>
      <c r="H588" s="377">
        <f>VLOOKUP(A586,'[2]Orçamento Sintético'!A:J,6,0)</f>
        <v>25</v>
      </c>
      <c r="I588" s="86"/>
      <c r="J588" s="86"/>
      <c r="K588" s="86"/>
      <c r="L588" s="86"/>
      <c r="M588" s="86"/>
    </row>
    <row r="589" spans="1:13" x14ac:dyDescent="0.25">
      <c r="A589" s="65"/>
      <c r="B589" s="65"/>
      <c r="C589" s="66"/>
      <c r="D589" s="67"/>
      <c r="E589" s="67"/>
      <c r="F589" s="456" t="s">
        <v>596</v>
      </c>
      <c r="G589" s="456"/>
      <c r="H589" s="264">
        <f>SUM(H592:H593)</f>
        <v>10</v>
      </c>
      <c r="I589" s="86"/>
      <c r="J589" s="86"/>
      <c r="K589" s="86"/>
      <c r="L589" s="86"/>
      <c r="M589" s="86"/>
    </row>
    <row r="590" spans="1:13" ht="14.25" customHeight="1" x14ac:dyDescent="0.25">
      <c r="A590" s="65"/>
      <c r="B590" s="65"/>
      <c r="C590" s="66"/>
      <c r="D590" s="67"/>
      <c r="E590" s="67"/>
      <c r="F590" s="457" t="s">
        <v>580</v>
      </c>
      <c r="G590" s="457"/>
      <c r="H590" s="264">
        <f>H588-H589</f>
        <v>15</v>
      </c>
      <c r="I590" s="86"/>
      <c r="J590" s="86"/>
      <c r="K590" s="86"/>
      <c r="L590" s="86"/>
      <c r="M590" s="86"/>
    </row>
    <row r="591" spans="1:13" ht="14.25" customHeight="1" x14ac:dyDescent="0.25">
      <c r="A591" s="65"/>
      <c r="B591" s="65"/>
      <c r="C591" s="66"/>
      <c r="D591" s="241" t="s">
        <v>1008</v>
      </c>
      <c r="E591" s="241" t="s">
        <v>1106</v>
      </c>
      <c r="F591" s="241"/>
      <c r="G591" s="241" t="s">
        <v>1011</v>
      </c>
      <c r="H591" s="378"/>
      <c r="I591" s="86"/>
      <c r="J591" s="86"/>
      <c r="K591" s="86"/>
      <c r="L591" s="86"/>
      <c r="M591" s="86"/>
    </row>
    <row r="592" spans="1:13" ht="14.25" customHeight="1" x14ac:dyDescent="0.25">
      <c r="A592" s="65"/>
      <c r="B592" s="544" t="s">
        <v>1085</v>
      </c>
      <c r="C592" s="66" t="s">
        <v>1111</v>
      </c>
      <c r="D592" s="67"/>
      <c r="E592" s="67"/>
      <c r="F592" s="73"/>
      <c r="G592" s="98">
        <v>10</v>
      </c>
      <c r="H592" s="229">
        <f>G592</f>
        <v>10</v>
      </c>
      <c r="I592" s="86"/>
      <c r="J592" s="86"/>
      <c r="K592" s="86"/>
      <c r="L592" s="86"/>
      <c r="M592" s="86"/>
    </row>
    <row r="593" spans="1:13" ht="14.25" customHeight="1" x14ac:dyDescent="0.25">
      <c r="A593"/>
      <c r="B593" s="544"/>
      <c r="C593" s="66"/>
      <c r="D593" s="67"/>
      <c r="E593" s="73"/>
      <c r="F593" s="98"/>
      <c r="G593" s="96"/>
      <c r="H593" s="229"/>
      <c r="I593" s="86"/>
      <c r="J593" s="86"/>
      <c r="K593" s="86"/>
      <c r="L593" s="86"/>
      <c r="M593" s="86"/>
    </row>
    <row r="594" spans="1:13" ht="14.25" customHeight="1" x14ac:dyDescent="0.25">
      <c r="A594"/>
      <c r="B594"/>
      <c r="C594"/>
      <c r="D594" s="67"/>
      <c r="E594" s="73"/>
      <c r="F594" s="98"/>
      <c r="G594" s="96"/>
      <c r="H594" s="379"/>
      <c r="I594" s="86"/>
      <c r="J594" s="86"/>
      <c r="K594" s="86"/>
      <c r="L594" s="86"/>
      <c r="M594" s="86"/>
    </row>
    <row r="595" spans="1:13" ht="14.25" customHeight="1" x14ac:dyDescent="0.25">
      <c r="A595"/>
      <c r="B595"/>
      <c r="C595"/>
      <c r="D595" s="67"/>
      <c r="E595" s="73"/>
      <c r="F595" s="98"/>
      <c r="G595" s="96"/>
      <c r="H595"/>
      <c r="I595" s="86"/>
      <c r="J595" s="86"/>
      <c r="K595" s="86"/>
      <c r="L595" s="86"/>
      <c r="M595" s="86"/>
    </row>
    <row r="596" spans="1:13" ht="14.25" customHeight="1" x14ac:dyDescent="0.25">
      <c r="A596"/>
      <c r="B596"/>
      <c r="C596"/>
      <c r="D596" s="67"/>
      <c r="E596" s="73"/>
      <c r="F596" s="98"/>
      <c r="G596" s="96"/>
      <c r="H596"/>
      <c r="I596" s="86"/>
      <c r="J596" s="86"/>
      <c r="K596" s="86"/>
      <c r="L596" s="86"/>
      <c r="M596" s="86"/>
    </row>
    <row r="597" spans="1:13" ht="14.25" customHeight="1" x14ac:dyDescent="0.25">
      <c r="A597" s="80" t="s">
        <v>753</v>
      </c>
      <c r="B597" s="81"/>
      <c r="C597" s="82" t="str">
        <f>VLOOKUP(A597,'[2]Orçamento Sintético'!A:J,4,0)</f>
        <v>TUBO PVC, SERIE NORMAL, ESGOTO PREDIAL, DN 100 MM, FORNECIDO E INSTALADO EM SUBCOLETOR AÉREO DE ESGOTO SANITÁRIO. AF_08/2022</v>
      </c>
      <c r="D597" s="81"/>
      <c r="E597" s="81" t="str">
        <f>VLOOKUP(A597,'[2]Orçamento Sintético'!A:J,5,0)</f>
        <v>M</v>
      </c>
      <c r="F597" s="462" t="s">
        <v>1084</v>
      </c>
      <c r="G597" s="462"/>
      <c r="H597" s="85">
        <f>SUM(H603:H604)</f>
        <v>77</v>
      </c>
      <c r="I597" s="86"/>
      <c r="J597" s="86"/>
      <c r="K597" s="86"/>
      <c r="L597" s="86"/>
      <c r="M597" s="86"/>
    </row>
    <row r="598" spans="1:13" ht="14.25" customHeight="1" x14ac:dyDescent="0.25">
      <c r="A598" s="65"/>
      <c r="B598" s="65"/>
      <c r="C598" s="66"/>
      <c r="D598" s="67"/>
      <c r="E598" s="67"/>
      <c r="F598" s="463" t="s">
        <v>578</v>
      </c>
      <c r="G598" s="464"/>
      <c r="H598" s="377">
        <v>0</v>
      </c>
      <c r="I598" s="86"/>
      <c r="J598" s="86"/>
      <c r="K598" s="86"/>
      <c r="L598" s="86"/>
      <c r="M598" s="86"/>
    </row>
    <row r="599" spans="1:13" x14ac:dyDescent="0.25">
      <c r="A599" s="65"/>
      <c r="B599" s="65"/>
      <c r="C599" s="66"/>
      <c r="D599" s="67"/>
      <c r="E599" s="67"/>
      <c r="F599" s="456" t="s">
        <v>579</v>
      </c>
      <c r="G599" s="456"/>
      <c r="H599" s="377">
        <f>VLOOKUP(A597,'[2]Orçamento Sintético'!A:J,6,0)</f>
        <v>77</v>
      </c>
      <c r="I599" s="86"/>
      <c r="J599" s="86"/>
      <c r="K599" s="86"/>
      <c r="L599" s="86"/>
      <c r="M599" s="86"/>
    </row>
    <row r="600" spans="1:13" ht="14.25" customHeight="1" x14ac:dyDescent="0.25">
      <c r="A600" s="65"/>
      <c r="B600" s="65"/>
      <c r="C600" s="66"/>
      <c r="D600" s="67"/>
      <c r="E600" s="67"/>
      <c r="F600" s="456" t="s">
        <v>596</v>
      </c>
      <c r="G600" s="456"/>
      <c r="H600" s="264">
        <f>SUM(H603:H604)</f>
        <v>77</v>
      </c>
      <c r="I600" s="86"/>
      <c r="J600" s="86"/>
      <c r="K600" s="86"/>
      <c r="L600" s="86"/>
      <c r="M600" s="86"/>
    </row>
    <row r="601" spans="1:13" ht="14.25" customHeight="1" x14ac:dyDescent="0.25">
      <c r="A601" s="65"/>
      <c r="B601" s="65"/>
      <c r="C601" s="66"/>
      <c r="D601" s="67"/>
      <c r="E601" s="67"/>
      <c r="F601" s="457" t="s">
        <v>580</v>
      </c>
      <c r="G601" s="457"/>
      <c r="H601" s="264">
        <f>H599-H600</f>
        <v>0</v>
      </c>
      <c r="I601" s="86"/>
      <c r="J601" s="86"/>
      <c r="K601" s="86"/>
      <c r="L601" s="86"/>
      <c r="M601" s="86"/>
    </row>
    <row r="602" spans="1:13" ht="14.25" customHeight="1" x14ac:dyDescent="0.25">
      <c r="A602" s="65"/>
      <c r="B602" s="65"/>
      <c r="C602" s="66"/>
      <c r="D602" s="241" t="s">
        <v>1008</v>
      </c>
      <c r="E602" s="241" t="s">
        <v>1106</v>
      </c>
      <c r="F602" s="241"/>
      <c r="G602" s="241" t="s">
        <v>1011</v>
      </c>
      <c r="H602" s="378"/>
      <c r="I602" s="86"/>
      <c r="J602" s="86"/>
      <c r="K602" s="86"/>
      <c r="L602" s="86"/>
      <c r="M602" s="86"/>
    </row>
    <row r="603" spans="1:13" ht="14.25" customHeight="1" x14ac:dyDescent="0.25">
      <c r="A603" s="65"/>
      <c r="B603" s="544" t="s">
        <v>1085</v>
      </c>
      <c r="C603" s="66" t="s">
        <v>1111</v>
      </c>
      <c r="D603" s="67"/>
      <c r="E603" s="67"/>
      <c r="F603" s="73"/>
      <c r="G603" s="98">
        <v>77</v>
      </c>
      <c r="H603" s="229">
        <f>G603</f>
        <v>77</v>
      </c>
      <c r="I603" s="86"/>
      <c r="J603" s="86"/>
      <c r="K603" s="86"/>
      <c r="L603" s="86"/>
      <c r="M603" s="86"/>
    </row>
    <row r="604" spans="1:13" ht="14.25" customHeight="1" x14ac:dyDescent="0.25">
      <c r="A604"/>
      <c r="B604" s="544"/>
      <c r="C604" s="66"/>
      <c r="D604" s="67"/>
      <c r="E604" s="73"/>
      <c r="F604" s="98"/>
      <c r="G604" s="96"/>
      <c r="H604" s="96"/>
      <c r="I604" s="86"/>
      <c r="J604" s="86"/>
      <c r="K604" s="86"/>
      <c r="L604" s="86"/>
      <c r="M604" s="86"/>
    </row>
    <row r="605" spans="1:13" ht="14.25" customHeight="1" x14ac:dyDescent="0.25">
      <c r="A605"/>
      <c r="B605"/>
      <c r="C605"/>
      <c r="D605" s="67"/>
      <c r="E605" s="73"/>
      <c r="F605" s="98"/>
      <c r="G605" s="96"/>
      <c r="H605"/>
      <c r="I605" s="86"/>
      <c r="J605" s="86"/>
      <c r="K605" s="86"/>
      <c r="L605" s="86"/>
      <c r="M605" s="86"/>
    </row>
    <row r="606" spans="1:13" ht="14.25" customHeight="1" x14ac:dyDescent="0.25">
      <c r="A606" s="80" t="s">
        <v>754</v>
      </c>
      <c r="B606" s="81"/>
      <c r="C606" s="82" t="str">
        <f>VLOOKUP(A606,'[2]Orçamento Sintético'!A:J,4,0)</f>
        <v>TUBO PVC, SERIE NORMAL, ESGOTO PREDIAL, DN 150 MM, FORNECIDO E INSTALADO EM SUBCOLETOR AÉREO DE ESGOTO SANITÁRIO. AF_08/2022</v>
      </c>
      <c r="D606" s="81"/>
      <c r="E606" s="81" t="str">
        <f>VLOOKUP(A606,'[2]Orçamento Sintético'!A:J,5,0)</f>
        <v>M</v>
      </c>
      <c r="F606" s="462" t="s">
        <v>1084</v>
      </c>
      <c r="G606" s="462"/>
      <c r="H606" s="85">
        <f>SUM(H612:H613)</f>
        <v>2</v>
      </c>
      <c r="I606" s="86"/>
      <c r="J606" s="86"/>
      <c r="K606" s="86"/>
      <c r="L606" s="86"/>
      <c r="M606" s="86"/>
    </row>
    <row r="607" spans="1:13" ht="14.25" customHeight="1" x14ac:dyDescent="0.25">
      <c r="A607" s="65"/>
      <c r="B607" s="65"/>
      <c r="C607" s="66"/>
      <c r="D607" s="67"/>
      <c r="E607" s="67"/>
      <c r="F607" s="463" t="s">
        <v>578</v>
      </c>
      <c r="G607" s="464"/>
      <c r="H607" s="377">
        <v>0</v>
      </c>
      <c r="I607" s="86"/>
      <c r="J607" s="86"/>
      <c r="K607" s="86"/>
      <c r="L607" s="86"/>
      <c r="M607" s="86"/>
    </row>
    <row r="608" spans="1:13" ht="14.25" customHeight="1" x14ac:dyDescent="0.25">
      <c r="A608" s="65"/>
      <c r="B608" s="65"/>
      <c r="C608" s="66"/>
      <c r="D608" s="67"/>
      <c r="E608" s="67"/>
      <c r="F608" s="456" t="s">
        <v>579</v>
      </c>
      <c r="G608" s="456"/>
      <c r="H608" s="377">
        <f>VLOOKUP(A606,'[2]Orçamento Sintético'!A:J,6,0)</f>
        <v>2</v>
      </c>
      <c r="I608" s="86"/>
      <c r="J608" s="86"/>
      <c r="K608" s="86"/>
      <c r="L608" s="86"/>
      <c r="M608" s="86"/>
    </row>
    <row r="609" spans="1:13" x14ac:dyDescent="0.25">
      <c r="A609" s="65"/>
      <c r="B609" s="65"/>
      <c r="C609" s="66"/>
      <c r="D609" s="67"/>
      <c r="E609" s="67"/>
      <c r="F609" s="456" t="s">
        <v>596</v>
      </c>
      <c r="G609" s="456"/>
      <c r="H609" s="264">
        <f>SUM(H612:H613)</f>
        <v>2</v>
      </c>
      <c r="I609" s="86"/>
      <c r="J609" s="86"/>
      <c r="K609" s="86"/>
      <c r="L609" s="86"/>
      <c r="M609" s="86"/>
    </row>
    <row r="610" spans="1:13" ht="14.25" customHeight="1" x14ac:dyDescent="0.25">
      <c r="A610" s="65"/>
      <c r="B610" s="65"/>
      <c r="C610" s="66"/>
      <c r="D610" s="67"/>
      <c r="E610" s="67"/>
      <c r="F610" s="457" t="s">
        <v>580</v>
      </c>
      <c r="G610" s="457"/>
      <c r="H610" s="264">
        <f>H608-H609</f>
        <v>0</v>
      </c>
      <c r="I610" s="86"/>
      <c r="J610" s="86"/>
      <c r="K610" s="86"/>
      <c r="L610" s="86"/>
      <c r="M610" s="86"/>
    </row>
    <row r="611" spans="1:13" ht="14.25" customHeight="1" x14ac:dyDescent="0.25">
      <c r="A611" s="65"/>
      <c r="B611" s="65"/>
      <c r="C611" s="66"/>
      <c r="D611" s="241" t="s">
        <v>1008</v>
      </c>
      <c r="E611" s="241" t="s">
        <v>1106</v>
      </c>
      <c r="F611" s="241"/>
      <c r="G611" s="241" t="s">
        <v>1011</v>
      </c>
      <c r="H611" s="378"/>
      <c r="I611" s="86"/>
      <c r="J611" s="86"/>
      <c r="K611" s="86"/>
      <c r="L611" s="86"/>
      <c r="M611" s="86"/>
    </row>
    <row r="612" spans="1:13" ht="14.25" customHeight="1" x14ac:dyDescent="0.25">
      <c r="A612" s="65"/>
      <c r="B612" s="544" t="s">
        <v>1085</v>
      </c>
      <c r="C612" s="66" t="s">
        <v>1111</v>
      </c>
      <c r="D612" s="67"/>
      <c r="E612" s="67"/>
      <c r="F612" s="73"/>
      <c r="G612" s="98">
        <v>2</v>
      </c>
      <c r="H612" s="229">
        <f>G612</f>
        <v>2</v>
      </c>
      <c r="I612" s="86"/>
      <c r="J612" s="86"/>
      <c r="K612" s="86"/>
      <c r="L612" s="86"/>
      <c r="M612" s="86"/>
    </row>
    <row r="613" spans="1:13" ht="14.25" customHeight="1" x14ac:dyDescent="0.25">
      <c r="A613"/>
      <c r="B613" s="544"/>
      <c r="C613" s="66"/>
      <c r="D613" s="67"/>
      <c r="E613" s="73"/>
      <c r="F613" s="98"/>
      <c r="G613" s="96"/>
      <c r="H613" s="229"/>
      <c r="I613" s="86"/>
      <c r="J613" s="86"/>
      <c r="K613" s="86"/>
      <c r="L613" s="86"/>
      <c r="M613" s="86"/>
    </row>
    <row r="614" spans="1:13" ht="14.25" customHeight="1" x14ac:dyDescent="0.25">
      <c r="A614"/>
      <c r="B614"/>
      <c r="C614"/>
      <c r="D614" s="67"/>
      <c r="E614" s="73"/>
      <c r="F614" s="98"/>
      <c r="G614" s="96"/>
      <c r="H614" s="379"/>
      <c r="I614" s="86"/>
      <c r="J614" s="86"/>
      <c r="K614" s="86"/>
      <c r="L614" s="86"/>
      <c r="M614" s="86"/>
    </row>
    <row r="615" spans="1:13" ht="14.25" customHeight="1" x14ac:dyDescent="0.25">
      <c r="A615"/>
      <c r="B615"/>
      <c r="C615"/>
      <c r="D615" s="67"/>
      <c r="E615" s="73"/>
      <c r="F615" s="98"/>
      <c r="G615" s="96"/>
      <c r="H615"/>
      <c r="I615" s="86"/>
      <c r="J615" s="86"/>
      <c r="K615" s="86"/>
      <c r="L615" s="86"/>
      <c r="M615" s="86"/>
    </row>
    <row r="616" spans="1:13" ht="14.25" customHeight="1" x14ac:dyDescent="0.25">
      <c r="A616" s="80" t="s">
        <v>755</v>
      </c>
      <c r="B616" s="81"/>
      <c r="C616" s="82" t="str">
        <f>VLOOKUP(A616,'[2]Orçamento Sintético'!A:J,4,0)</f>
        <v>JOELHO 45 GRAUS, PVC, SERIE NORMAL, ESGOTO PREDIAL, DN 40 MM, JUNTA SOLDÁVEL, FORNECIDO E INSTALADO EM RAMAL DE DESCARGA OU RAMAL DE ESGOTO SANITÁRIO. AF_08/2022</v>
      </c>
      <c r="D616" s="81"/>
      <c r="E616" s="81" t="str">
        <f>VLOOKUP(A616,'[2]Orçamento Sintético'!A:J,5,0)</f>
        <v>UN</v>
      </c>
      <c r="F616" s="462" t="s">
        <v>1084</v>
      </c>
      <c r="G616" s="462"/>
      <c r="H616" s="85">
        <f>SUM(H622:H623)</f>
        <v>4</v>
      </c>
      <c r="I616" s="86"/>
      <c r="J616" s="86"/>
      <c r="K616" s="86"/>
      <c r="L616" s="86"/>
      <c r="M616" s="86"/>
    </row>
    <row r="617" spans="1:13" ht="14.25" customHeight="1" x14ac:dyDescent="0.25">
      <c r="A617" s="65"/>
      <c r="B617" s="65"/>
      <c r="C617" s="66"/>
      <c r="D617" s="67"/>
      <c r="E617" s="67"/>
      <c r="F617" s="463" t="s">
        <v>578</v>
      </c>
      <c r="G617" s="464"/>
      <c r="H617" s="377">
        <v>0</v>
      </c>
      <c r="I617" s="86"/>
      <c r="J617" s="86"/>
      <c r="K617" s="86"/>
      <c r="L617" s="86"/>
      <c r="M617" s="86"/>
    </row>
    <row r="618" spans="1:13" ht="14.25" customHeight="1" x14ac:dyDescent="0.25">
      <c r="A618" s="65"/>
      <c r="B618" s="65"/>
      <c r="C618" s="66"/>
      <c r="D618" s="67"/>
      <c r="E618" s="67"/>
      <c r="F618" s="456" t="s">
        <v>579</v>
      </c>
      <c r="G618" s="456"/>
      <c r="H618" s="377">
        <f>VLOOKUP(A616,'[2]Orçamento Sintético'!A:J,6,0)</f>
        <v>4</v>
      </c>
      <c r="I618" s="86"/>
      <c r="J618" s="86"/>
      <c r="K618" s="86"/>
      <c r="L618" s="86"/>
      <c r="M618" s="86"/>
    </row>
    <row r="619" spans="1:13" x14ac:dyDescent="0.25">
      <c r="A619" s="65"/>
      <c r="B619" s="65"/>
      <c r="C619" s="66"/>
      <c r="D619" s="67"/>
      <c r="E619" s="67"/>
      <c r="F619" s="456" t="s">
        <v>596</v>
      </c>
      <c r="G619" s="456"/>
      <c r="H619" s="264">
        <f>SUM(H622:H623)</f>
        <v>4</v>
      </c>
      <c r="I619" s="86"/>
      <c r="J619" s="86"/>
      <c r="K619" s="86"/>
      <c r="L619" s="86"/>
      <c r="M619" s="86"/>
    </row>
    <row r="620" spans="1:13" ht="14.25" customHeight="1" x14ac:dyDescent="0.25">
      <c r="A620" s="65"/>
      <c r="B620" s="65"/>
      <c r="C620" s="66"/>
      <c r="D620" s="67"/>
      <c r="E620" s="67"/>
      <c r="F620" s="457" t="s">
        <v>580</v>
      </c>
      <c r="G620" s="457"/>
      <c r="H620" s="264">
        <f>H618-H619</f>
        <v>0</v>
      </c>
      <c r="I620" s="86"/>
      <c r="J620" s="86"/>
      <c r="K620" s="86"/>
      <c r="L620" s="86"/>
      <c r="M620" s="86"/>
    </row>
    <row r="621" spans="1:13" ht="14.25" customHeight="1" x14ac:dyDescent="0.25">
      <c r="A621" s="65"/>
      <c r="B621" s="65"/>
      <c r="C621" s="66"/>
      <c r="D621" s="241" t="s">
        <v>1008</v>
      </c>
      <c r="E621" s="241" t="s">
        <v>1106</v>
      </c>
      <c r="F621" s="241"/>
      <c r="G621" s="241" t="s">
        <v>1011</v>
      </c>
      <c r="H621" s="378"/>
      <c r="I621" s="86"/>
      <c r="J621" s="86"/>
      <c r="K621" s="86"/>
      <c r="L621" s="86"/>
      <c r="M621" s="86"/>
    </row>
    <row r="622" spans="1:13" ht="14.25" customHeight="1" x14ac:dyDescent="0.25">
      <c r="A622" s="65"/>
      <c r="B622" s="544" t="s">
        <v>1085</v>
      </c>
      <c r="C622" s="66" t="s">
        <v>1111</v>
      </c>
      <c r="D622" s="67"/>
      <c r="E622" s="67"/>
      <c r="F622" s="73"/>
      <c r="G622" s="98">
        <v>4</v>
      </c>
      <c r="H622" s="229">
        <f>G622</f>
        <v>4</v>
      </c>
      <c r="I622" s="86"/>
      <c r="J622" s="86"/>
      <c r="K622" s="86"/>
      <c r="L622" s="86"/>
      <c r="M622" s="86"/>
    </row>
    <row r="623" spans="1:13" ht="14.25" customHeight="1" x14ac:dyDescent="0.25">
      <c r="A623"/>
      <c r="B623" s="544"/>
      <c r="C623" s="66"/>
      <c r="D623" s="67"/>
      <c r="E623" s="73"/>
      <c r="F623" s="98"/>
      <c r="G623" s="96"/>
      <c r="H623" s="96"/>
      <c r="I623" s="86"/>
      <c r="J623" s="86"/>
      <c r="K623" s="86"/>
      <c r="L623" s="86"/>
      <c r="M623" s="86"/>
    </row>
    <row r="624" spans="1:13" ht="14.25" customHeight="1" x14ac:dyDescent="0.25">
      <c r="A624"/>
      <c r="B624"/>
      <c r="C624"/>
      <c r="D624" s="67"/>
      <c r="E624" s="73"/>
      <c r="F624" s="98"/>
      <c r="G624" s="96"/>
      <c r="H624"/>
      <c r="I624" s="86"/>
      <c r="J624" s="86"/>
      <c r="K624" s="86"/>
      <c r="L624" s="86"/>
      <c r="M624" s="86"/>
    </row>
    <row r="625" spans="1:13" ht="14.25" customHeight="1" x14ac:dyDescent="0.25">
      <c r="A625"/>
      <c r="B625"/>
      <c r="C625"/>
      <c r="D625" s="67"/>
      <c r="E625" s="73"/>
      <c r="F625" s="98"/>
      <c r="G625" s="96"/>
      <c r="H625"/>
      <c r="I625" s="86"/>
      <c r="J625" s="86"/>
      <c r="K625" s="86"/>
      <c r="L625" s="86"/>
      <c r="M625" s="86"/>
    </row>
    <row r="626" spans="1:13" ht="14.25" customHeight="1" x14ac:dyDescent="0.25">
      <c r="A626" s="80" t="s">
        <v>756</v>
      </c>
      <c r="B626" s="81"/>
      <c r="C626" s="82" t="str">
        <f>VLOOKUP(A626,'[2]Orçamento Sintético'!A:J,4,0)</f>
        <v>JOELHO 90 GRAUS, PVC, SERIE NORMAL, ESGOTO PREDIAL, DN 40 MM, JUNTA SOLDÁVEL, FORNECIDO E INSTALADO EM RAMAL DE DESCARGA OU RAMAL DE ESGOTO SANITÁRIO. AF_08/2022</v>
      </c>
      <c r="D626" s="81"/>
      <c r="E626" s="81" t="str">
        <f>VLOOKUP(A626,'[2]Orçamento Sintético'!A:J,5,0)</f>
        <v>UN</v>
      </c>
      <c r="F626" s="462" t="s">
        <v>1084</v>
      </c>
      <c r="G626" s="462"/>
      <c r="H626" s="85">
        <f>SUM(H632:H633)</f>
        <v>12</v>
      </c>
      <c r="I626" s="86"/>
      <c r="J626" s="86"/>
      <c r="K626" s="86"/>
      <c r="L626" s="86"/>
      <c r="M626" s="86"/>
    </row>
    <row r="627" spans="1:13" ht="14.25" customHeight="1" x14ac:dyDescent="0.25">
      <c r="A627" s="65"/>
      <c r="B627" s="65"/>
      <c r="C627" s="66"/>
      <c r="D627" s="67"/>
      <c r="E627" s="67"/>
      <c r="F627" s="463" t="s">
        <v>578</v>
      </c>
      <c r="G627" s="464"/>
      <c r="H627" s="377">
        <v>0</v>
      </c>
      <c r="I627" s="86"/>
      <c r="J627" s="86"/>
      <c r="K627" s="86"/>
      <c r="L627" s="86"/>
      <c r="M627" s="86"/>
    </row>
    <row r="628" spans="1:13" ht="14.25" customHeight="1" x14ac:dyDescent="0.25">
      <c r="A628" s="65"/>
      <c r="B628" s="65"/>
      <c r="C628" s="66"/>
      <c r="D628" s="67"/>
      <c r="E628" s="67"/>
      <c r="F628" s="456" t="s">
        <v>579</v>
      </c>
      <c r="G628" s="456"/>
      <c r="H628" s="377">
        <f>VLOOKUP(A626,'[2]Orçamento Sintético'!A:J,6,0)</f>
        <v>20</v>
      </c>
      <c r="I628" s="86"/>
      <c r="J628" s="86"/>
      <c r="K628" s="86"/>
      <c r="L628" s="86"/>
      <c r="M628" s="86"/>
    </row>
    <row r="629" spans="1:13" ht="14.25" customHeight="1" x14ac:dyDescent="0.25">
      <c r="A629" s="65"/>
      <c r="B629" s="65"/>
      <c r="C629" s="66"/>
      <c r="D629" s="67"/>
      <c r="E629" s="67"/>
      <c r="F629" s="456" t="s">
        <v>596</v>
      </c>
      <c r="G629" s="456"/>
      <c r="H629" s="264">
        <f>SUM(H632:H633)</f>
        <v>12</v>
      </c>
      <c r="I629" s="86"/>
      <c r="J629" s="86"/>
      <c r="K629" s="86"/>
      <c r="L629" s="86"/>
      <c r="M629" s="86"/>
    </row>
    <row r="630" spans="1:13" ht="15" customHeight="1" x14ac:dyDescent="0.25">
      <c r="A630" s="65"/>
      <c r="B630" s="65"/>
      <c r="C630" s="66"/>
      <c r="D630" s="67"/>
      <c r="E630" s="67"/>
      <c r="F630" s="457" t="s">
        <v>580</v>
      </c>
      <c r="G630" s="457"/>
      <c r="H630" s="264">
        <f>H628-H629</f>
        <v>8</v>
      </c>
      <c r="I630" s="86"/>
      <c r="J630" s="86"/>
      <c r="K630" s="86"/>
      <c r="L630" s="86"/>
      <c r="M630" s="86"/>
    </row>
    <row r="631" spans="1:13" ht="85.5" customHeight="1" x14ac:dyDescent="0.25">
      <c r="A631" s="65"/>
      <c r="B631" s="65"/>
      <c r="C631" s="66"/>
      <c r="D631" s="241" t="s">
        <v>1008</v>
      </c>
      <c r="E631" s="241" t="s">
        <v>1106</v>
      </c>
      <c r="F631" s="241"/>
      <c r="G631" s="241" t="s">
        <v>1011</v>
      </c>
      <c r="H631" s="378"/>
      <c r="I631" s="86"/>
      <c r="J631" s="86"/>
      <c r="K631" s="86"/>
      <c r="L631" s="86"/>
      <c r="M631" s="86"/>
    </row>
    <row r="632" spans="1:13" x14ac:dyDescent="0.25">
      <c r="A632" s="65"/>
      <c r="B632" s="544" t="s">
        <v>1085</v>
      </c>
      <c r="C632" s="66" t="s">
        <v>1111</v>
      </c>
      <c r="D632" s="67"/>
      <c r="E632" s="67"/>
      <c r="F632" s="73"/>
      <c r="G632" s="98">
        <v>12</v>
      </c>
      <c r="H632" s="229">
        <f>G632</f>
        <v>12</v>
      </c>
      <c r="I632" s="86"/>
      <c r="J632" s="86"/>
      <c r="K632" s="86"/>
      <c r="L632" s="86"/>
      <c r="M632" s="86"/>
    </row>
    <row r="633" spans="1:13" ht="35.25" customHeight="1" x14ac:dyDescent="0.25">
      <c r="A633"/>
      <c r="B633" s="544"/>
      <c r="C633" s="66"/>
      <c r="D633" s="67"/>
      <c r="E633" s="73"/>
      <c r="F633" s="98"/>
      <c r="G633" s="96"/>
      <c r="H633" s="96"/>
      <c r="I633" s="86"/>
      <c r="J633" s="86"/>
      <c r="K633" s="86"/>
      <c r="L633" s="86"/>
      <c r="M633" s="86"/>
    </row>
    <row r="634" spans="1:13" x14ac:dyDescent="0.25">
      <c r="A634"/>
      <c r="B634"/>
      <c r="C634"/>
      <c r="D634" s="67"/>
      <c r="E634" s="73"/>
      <c r="F634" s="98"/>
      <c r="G634" s="96"/>
      <c r="H634"/>
      <c r="I634" s="86"/>
      <c r="J634" s="86"/>
      <c r="K634" s="86"/>
      <c r="L634" s="86"/>
      <c r="M634" s="86"/>
    </row>
    <row r="635" spans="1:13" x14ac:dyDescent="0.25">
      <c r="A635"/>
      <c r="B635"/>
      <c r="C635"/>
      <c r="D635" s="67"/>
      <c r="E635" s="73"/>
      <c r="F635" s="98"/>
      <c r="G635" s="96"/>
      <c r="H635"/>
      <c r="I635" s="86"/>
      <c r="J635" s="86"/>
      <c r="K635" s="86"/>
      <c r="L635" s="86"/>
      <c r="M635" s="86"/>
    </row>
    <row r="636" spans="1:13" ht="39.6" x14ac:dyDescent="0.25">
      <c r="A636" s="80" t="s">
        <v>757</v>
      </c>
      <c r="B636" s="81"/>
      <c r="C636" s="82" t="str">
        <f>VLOOKUP(A636,'[2]Orçamento Sintético'!A:J,4,0)</f>
        <v>JOELHO 90 GRAUS, PVC, SERIE NORMAL, ESGOTO PREDIAL, DN 100 MM, JUNTA ELÁSTICA, FORNECIDO E INSTALADO EM PRUMADA DE ESGOTO SANITÁRIO OU VENTILAÇÃO. AF_08/2022</v>
      </c>
      <c r="D636" s="81"/>
      <c r="E636" s="81" t="str">
        <f>VLOOKUP(A636,'[2]Orçamento Sintético'!A:J,5,0)</f>
        <v>UN</v>
      </c>
      <c r="F636" s="462" t="s">
        <v>1084</v>
      </c>
      <c r="G636" s="462"/>
      <c r="H636" s="85">
        <f>SUM(H642:H643)</f>
        <v>5</v>
      </c>
      <c r="I636" s="86"/>
      <c r="J636" s="86"/>
      <c r="K636" s="86"/>
      <c r="L636" s="86"/>
      <c r="M636" s="86"/>
    </row>
    <row r="637" spans="1:13" x14ac:dyDescent="0.25">
      <c r="A637" s="65"/>
      <c r="B637" s="65"/>
      <c r="C637" s="66"/>
      <c r="D637" s="67"/>
      <c r="E637" s="67"/>
      <c r="F637" s="463" t="s">
        <v>578</v>
      </c>
      <c r="G637" s="464"/>
      <c r="H637" s="68">
        <v>0</v>
      </c>
      <c r="I637" s="86"/>
      <c r="J637" s="86"/>
      <c r="K637" s="86"/>
      <c r="L637" s="86"/>
      <c r="M637" s="86"/>
    </row>
    <row r="638" spans="1:13" x14ac:dyDescent="0.25">
      <c r="A638" s="65"/>
      <c r="B638" s="65"/>
      <c r="C638" s="66"/>
      <c r="D638" s="67"/>
      <c r="E638" s="67"/>
      <c r="F638" s="456" t="s">
        <v>579</v>
      </c>
      <c r="G638" s="456"/>
      <c r="H638" s="377">
        <f>VLOOKUP(A636,'[2]Orçamento Sintético'!A:J,6,0)</f>
        <v>8</v>
      </c>
      <c r="I638" s="86"/>
      <c r="J638" s="86"/>
      <c r="K638" s="86"/>
      <c r="L638" s="86"/>
      <c r="M638" s="86"/>
    </row>
    <row r="639" spans="1:13" x14ac:dyDescent="0.25">
      <c r="A639" s="65"/>
      <c r="B639" s="65"/>
      <c r="C639" s="66"/>
      <c r="D639" s="67"/>
      <c r="E639" s="67"/>
      <c r="F639" s="456" t="s">
        <v>596</v>
      </c>
      <c r="G639" s="456"/>
      <c r="H639" s="264">
        <f>SUM(H642:H643)</f>
        <v>5</v>
      </c>
      <c r="I639" s="86"/>
      <c r="J639" s="86"/>
      <c r="K639" s="86"/>
      <c r="L639" s="86"/>
      <c r="M639" s="86"/>
    </row>
    <row r="640" spans="1:13" x14ac:dyDescent="0.25">
      <c r="A640" s="65"/>
      <c r="B640" s="65"/>
      <c r="C640" s="66"/>
      <c r="D640" s="67"/>
      <c r="E640" s="67"/>
      <c r="F640" s="457" t="s">
        <v>580</v>
      </c>
      <c r="G640" s="457"/>
      <c r="H640" s="264">
        <f>H638-H639</f>
        <v>3</v>
      </c>
      <c r="I640" s="86"/>
      <c r="J640" s="86"/>
      <c r="K640" s="86"/>
      <c r="L640" s="86"/>
      <c r="M640" s="86"/>
    </row>
    <row r="641" spans="1:13" x14ac:dyDescent="0.25">
      <c r="A641" s="65"/>
      <c r="B641" s="65"/>
      <c r="C641" s="66"/>
      <c r="D641" s="241" t="s">
        <v>1008</v>
      </c>
      <c r="E641" s="241" t="s">
        <v>1106</v>
      </c>
      <c r="F641" s="241"/>
      <c r="G641" s="241" t="s">
        <v>1011</v>
      </c>
      <c r="H641" s="378"/>
      <c r="I641" s="86"/>
      <c r="J641" s="86"/>
      <c r="K641" s="86"/>
      <c r="L641" s="86"/>
      <c r="M641" s="86"/>
    </row>
    <row r="642" spans="1:13" x14ac:dyDescent="0.25">
      <c r="A642" s="65"/>
      <c r="B642" s="544" t="s">
        <v>1085</v>
      </c>
      <c r="C642" s="66" t="s">
        <v>1111</v>
      </c>
      <c r="D642" s="67"/>
      <c r="E642" s="67"/>
      <c r="F642" s="73"/>
      <c r="G642" s="98">
        <v>5</v>
      </c>
      <c r="H642" s="229">
        <f>G642</f>
        <v>5</v>
      </c>
      <c r="I642" s="86"/>
      <c r="J642" s="86"/>
      <c r="K642" s="86"/>
      <c r="L642" s="86"/>
      <c r="M642" s="86"/>
    </row>
    <row r="643" spans="1:13" x14ac:dyDescent="0.25">
      <c r="A643"/>
      <c r="B643" s="544"/>
      <c r="C643" s="66"/>
      <c r="D643" s="67"/>
      <c r="E643" s="73"/>
      <c r="F643" s="98"/>
      <c r="G643" s="96"/>
      <c r="H643" s="229"/>
      <c r="I643" s="86"/>
      <c r="J643" s="86"/>
      <c r="K643" s="86"/>
      <c r="L643" s="86"/>
      <c r="M643" s="86"/>
    </row>
    <row r="644" spans="1:13" x14ac:dyDescent="0.25">
      <c r="A644"/>
      <c r="B644"/>
      <c r="C644"/>
      <c r="D644" s="67"/>
      <c r="E644" s="73"/>
      <c r="F644" s="98"/>
      <c r="G644" s="96"/>
      <c r="H644"/>
      <c r="I644" s="86"/>
      <c r="J644" s="86"/>
      <c r="K644" s="86"/>
      <c r="L644" s="86"/>
      <c r="M644" s="86"/>
    </row>
    <row r="645" spans="1:13" x14ac:dyDescent="0.25">
      <c r="A645"/>
      <c r="B645"/>
      <c r="C645"/>
      <c r="D645" s="67"/>
      <c r="E645" s="73"/>
      <c r="F645" s="98"/>
      <c r="G645" s="96"/>
      <c r="H645"/>
      <c r="I645" s="86"/>
      <c r="J645" s="86"/>
      <c r="K645" s="86"/>
      <c r="L645" s="86"/>
      <c r="M645" s="86"/>
    </row>
    <row r="646" spans="1:13" x14ac:dyDescent="0.25">
      <c r="A646"/>
      <c r="B646"/>
      <c r="C646"/>
      <c r="D646" s="67"/>
      <c r="E646" s="73"/>
      <c r="F646" s="98"/>
      <c r="G646" s="96"/>
      <c r="H646"/>
      <c r="I646" s="86"/>
      <c r="J646" s="86"/>
      <c r="K646" s="86"/>
      <c r="L646" s="86"/>
      <c r="M646" s="86"/>
    </row>
    <row r="647" spans="1:13" ht="14.4" thickBot="1" x14ac:dyDescent="0.3">
      <c r="A647"/>
      <c r="B647"/>
      <c r="C647"/>
      <c r="D647"/>
      <c r="E647"/>
      <c r="F647"/>
      <c r="G647"/>
      <c r="H647"/>
      <c r="I647" s="86"/>
      <c r="J647" s="86"/>
      <c r="K647" s="86"/>
      <c r="L647" s="86"/>
      <c r="M647" s="86"/>
    </row>
    <row r="648" spans="1:13" ht="107.25" customHeight="1" thickTop="1" x14ac:dyDescent="0.25">
      <c r="A648" s="386" t="s">
        <v>944</v>
      </c>
      <c r="B648" s="208"/>
      <c r="C648" s="207"/>
      <c r="D648" s="497" t="s">
        <v>945</v>
      </c>
      <c r="E648" s="498"/>
      <c r="F648" s="498"/>
      <c r="G648" s="498"/>
      <c r="H648" s="499"/>
      <c r="I648" s="494"/>
      <c r="J648" s="416"/>
      <c r="K648" s="416"/>
      <c r="L648" s="416"/>
      <c r="M648" s="416"/>
    </row>
    <row r="649" spans="1:13" x14ac:dyDescent="0.25">
      <c r="A649" s="490" t="s">
        <v>947</v>
      </c>
      <c r="B649" s="491"/>
      <c r="C649" s="542"/>
      <c r="D649" s="500" t="s">
        <v>948</v>
      </c>
      <c r="E649" s="501"/>
      <c r="F649" s="501"/>
      <c r="G649" s="501"/>
      <c r="H649" s="502"/>
      <c r="I649" s="495"/>
      <c r="J649" s="496"/>
      <c r="K649" s="496"/>
      <c r="L649" s="496"/>
      <c r="M649" s="496"/>
    </row>
    <row r="650" spans="1:13" ht="14.4" thickBot="1" x14ac:dyDescent="0.3">
      <c r="A650" s="492"/>
      <c r="B650" s="493"/>
      <c r="C650" s="543"/>
      <c r="D650" s="503"/>
      <c r="E650" s="504"/>
      <c r="F650" s="504"/>
      <c r="G650" s="504"/>
      <c r="H650" s="505"/>
      <c r="I650" s="495"/>
      <c r="J650" s="496"/>
      <c r="K650" s="496"/>
      <c r="L650" s="496"/>
      <c r="M650" s="496"/>
    </row>
    <row r="651" spans="1:13" ht="14.4" thickTop="1" x14ac:dyDescent="0.25"/>
  </sheetData>
  <mergeCells count="312">
    <mergeCell ref="A5:B5"/>
    <mergeCell ref="C5:H5"/>
    <mergeCell ref="A6:B6"/>
    <mergeCell ref="C6:F6"/>
    <mergeCell ref="A7:H7"/>
    <mergeCell ref="A8:H8"/>
    <mergeCell ref="A2:B2"/>
    <mergeCell ref="C2:H2"/>
    <mergeCell ref="A3:B3"/>
    <mergeCell ref="C3:H3"/>
    <mergeCell ref="A4:B4"/>
    <mergeCell ref="C4:H4"/>
    <mergeCell ref="F22:G22"/>
    <mergeCell ref="F23:G23"/>
    <mergeCell ref="F24:G24"/>
    <mergeCell ref="F25:G25"/>
    <mergeCell ref="F29:G29"/>
    <mergeCell ref="F30:G30"/>
    <mergeCell ref="F10:G10"/>
    <mergeCell ref="F11:G11"/>
    <mergeCell ref="F12:G12"/>
    <mergeCell ref="F13:G13"/>
    <mergeCell ref="F14:G14"/>
    <mergeCell ref="F21:G21"/>
    <mergeCell ref="F40:G40"/>
    <mergeCell ref="F41:G41"/>
    <mergeCell ref="F45:G45"/>
    <mergeCell ref="F46:G46"/>
    <mergeCell ref="F47:G47"/>
    <mergeCell ref="F48:G48"/>
    <mergeCell ref="F31:G31"/>
    <mergeCell ref="F32:G32"/>
    <mergeCell ref="F33:G33"/>
    <mergeCell ref="F37:G37"/>
    <mergeCell ref="F38:G38"/>
    <mergeCell ref="F39:G39"/>
    <mergeCell ref="F61:G61"/>
    <mergeCell ref="F62:G62"/>
    <mergeCell ref="F63:G63"/>
    <mergeCell ref="F64:G64"/>
    <mergeCell ref="F65:G65"/>
    <mergeCell ref="F69:G69"/>
    <mergeCell ref="F49:G49"/>
    <mergeCell ref="F53:G53"/>
    <mergeCell ref="F54:G54"/>
    <mergeCell ref="F55:G55"/>
    <mergeCell ref="F56:G56"/>
    <mergeCell ref="F57:G57"/>
    <mergeCell ref="F79:G79"/>
    <mergeCell ref="F80:G80"/>
    <mergeCell ref="F81:G81"/>
    <mergeCell ref="F85:G85"/>
    <mergeCell ref="F86:G86"/>
    <mergeCell ref="F87:G87"/>
    <mergeCell ref="F70:G70"/>
    <mergeCell ref="F71:G71"/>
    <mergeCell ref="F72:G72"/>
    <mergeCell ref="F73:G73"/>
    <mergeCell ref="F77:G77"/>
    <mergeCell ref="F78:G78"/>
    <mergeCell ref="F104:G104"/>
    <mergeCell ref="F105:G105"/>
    <mergeCell ref="B110:B115"/>
    <mergeCell ref="F118:G118"/>
    <mergeCell ref="F119:G119"/>
    <mergeCell ref="F120:G120"/>
    <mergeCell ref="F88:G88"/>
    <mergeCell ref="F89:G89"/>
    <mergeCell ref="B94:B98"/>
    <mergeCell ref="F101:G101"/>
    <mergeCell ref="F102:G102"/>
    <mergeCell ref="F103:G103"/>
    <mergeCell ref="F146:G146"/>
    <mergeCell ref="F147:G147"/>
    <mergeCell ref="F148:G148"/>
    <mergeCell ref="B150:B152"/>
    <mergeCell ref="F154:G154"/>
    <mergeCell ref="F155:G155"/>
    <mergeCell ref="F121:G121"/>
    <mergeCell ref="F122:G122"/>
    <mergeCell ref="B131:B132"/>
    <mergeCell ref="B135:B140"/>
    <mergeCell ref="F144:G144"/>
    <mergeCell ref="F145:G145"/>
    <mergeCell ref="F168:G168"/>
    <mergeCell ref="F169:G169"/>
    <mergeCell ref="B174:B191"/>
    <mergeCell ref="F195:G195"/>
    <mergeCell ref="F196:G196"/>
    <mergeCell ref="F197:G197"/>
    <mergeCell ref="F156:G156"/>
    <mergeCell ref="F157:G157"/>
    <mergeCell ref="F158:G158"/>
    <mergeCell ref="F165:G165"/>
    <mergeCell ref="F166:G166"/>
    <mergeCell ref="F167:G167"/>
    <mergeCell ref="F252:G252"/>
    <mergeCell ref="F253:G253"/>
    <mergeCell ref="F254:G254"/>
    <mergeCell ref="B260:B269"/>
    <mergeCell ref="F219:G219"/>
    <mergeCell ref="F228:G228"/>
    <mergeCell ref="F229:G229"/>
    <mergeCell ref="F230:G230"/>
    <mergeCell ref="F198:G198"/>
    <mergeCell ref="F199:G199"/>
    <mergeCell ref="B205:B208"/>
    <mergeCell ref="F210:G210"/>
    <mergeCell ref="F211:G211"/>
    <mergeCell ref="F212:G212"/>
    <mergeCell ref="F213:G213"/>
    <mergeCell ref="F214:G214"/>
    <mergeCell ref="F220:G220"/>
    <mergeCell ref="F221:G221"/>
    <mergeCell ref="F222:G222"/>
    <mergeCell ref="F223:G223"/>
    <mergeCell ref="F231:G231"/>
    <mergeCell ref="F240:G240"/>
    <mergeCell ref="F241:G241"/>
    <mergeCell ref="F242:G242"/>
    <mergeCell ref="F243:G243"/>
    <mergeCell ref="F232:G232"/>
    <mergeCell ref="F244:G244"/>
    <mergeCell ref="F250:G250"/>
    <mergeCell ref="F251:G251"/>
    <mergeCell ref="F272:G272"/>
    <mergeCell ref="F273:G273"/>
    <mergeCell ref="F274:G274"/>
    <mergeCell ref="F275:G275"/>
    <mergeCell ref="B282:B285"/>
    <mergeCell ref="F287:G287"/>
    <mergeCell ref="F288:G288"/>
    <mergeCell ref="F289:G289"/>
    <mergeCell ref="F290:G290"/>
    <mergeCell ref="F301:G301"/>
    <mergeCell ref="F302:G302"/>
    <mergeCell ref="F303:G303"/>
    <mergeCell ref="F304:G304"/>
    <mergeCell ref="F305:G305"/>
    <mergeCell ref="F312:G312"/>
    <mergeCell ref="F313:G313"/>
    <mergeCell ref="B318:B322"/>
    <mergeCell ref="F276:G276"/>
    <mergeCell ref="F291:G291"/>
    <mergeCell ref="B295:B300"/>
    <mergeCell ref="F352:G352"/>
    <mergeCell ref="F353:G353"/>
    <mergeCell ref="F354:G354"/>
    <mergeCell ref="F336:G336"/>
    <mergeCell ref="F337:G337"/>
    <mergeCell ref="F338:G338"/>
    <mergeCell ref="F309:G309"/>
    <mergeCell ref="F310:G310"/>
    <mergeCell ref="F311:G311"/>
    <mergeCell ref="F413:G413"/>
    <mergeCell ref="F414:G414"/>
    <mergeCell ref="F415:G415"/>
    <mergeCell ref="F386:G386"/>
    <mergeCell ref="F387:G387"/>
    <mergeCell ref="F388:G388"/>
    <mergeCell ref="F389:G389"/>
    <mergeCell ref="F390:G390"/>
    <mergeCell ref="B392:B393"/>
    <mergeCell ref="F405:G405"/>
    <mergeCell ref="F406:G406"/>
    <mergeCell ref="F407:G407"/>
    <mergeCell ref="F396:G396"/>
    <mergeCell ref="F397:G397"/>
    <mergeCell ref="F398:G398"/>
    <mergeCell ref="F399:G399"/>
    <mergeCell ref="F404:G404"/>
    <mergeCell ref="B409:B410"/>
    <mergeCell ref="F455:G455"/>
    <mergeCell ref="F456:G456"/>
    <mergeCell ref="F457:G457"/>
    <mergeCell ref="F458:G458"/>
    <mergeCell ref="B460:B461"/>
    <mergeCell ref="F464:G464"/>
    <mergeCell ref="F465:G465"/>
    <mergeCell ref="F466:G466"/>
    <mergeCell ref="F437:G437"/>
    <mergeCell ref="F438:G438"/>
    <mergeCell ref="F439:G439"/>
    <mergeCell ref="F440:G440"/>
    <mergeCell ref="F441:G441"/>
    <mergeCell ref="F488:G488"/>
    <mergeCell ref="F485:G485"/>
    <mergeCell ref="F486:G486"/>
    <mergeCell ref="F487:G487"/>
    <mergeCell ref="B471:B476"/>
    <mergeCell ref="B477:B480"/>
    <mergeCell ref="F484:G484"/>
    <mergeCell ref="B491:B496"/>
    <mergeCell ref="F467:G467"/>
    <mergeCell ref="F468:G468"/>
    <mergeCell ref="F577:G577"/>
    <mergeCell ref="F578:G578"/>
    <mergeCell ref="F579:G579"/>
    <mergeCell ref="F538:G538"/>
    <mergeCell ref="F536:G536"/>
    <mergeCell ref="F537:G537"/>
    <mergeCell ref="F517:G517"/>
    <mergeCell ref="B497:B500"/>
    <mergeCell ref="F502:G502"/>
    <mergeCell ref="F503:G503"/>
    <mergeCell ref="F504:G504"/>
    <mergeCell ref="F505:G505"/>
    <mergeCell ref="F506:G506"/>
    <mergeCell ref="F513:G513"/>
    <mergeCell ref="F514:G514"/>
    <mergeCell ref="F515:G515"/>
    <mergeCell ref="F516:G516"/>
    <mergeCell ref="B520:B522"/>
    <mergeCell ref="B523:B531"/>
    <mergeCell ref="F569:G569"/>
    <mergeCell ref="B559:B562"/>
    <mergeCell ref="F565:G565"/>
    <mergeCell ref="F566:G566"/>
    <mergeCell ref="F567:G567"/>
    <mergeCell ref="F568:G568"/>
    <mergeCell ref="B571:B573"/>
    <mergeCell ref="F575:G575"/>
    <mergeCell ref="F576:G576"/>
    <mergeCell ref="F599:G599"/>
    <mergeCell ref="F600:G600"/>
    <mergeCell ref="F589:G589"/>
    <mergeCell ref="F590:G590"/>
    <mergeCell ref="B581:B582"/>
    <mergeCell ref="F586:G586"/>
    <mergeCell ref="F587:G587"/>
    <mergeCell ref="F588:G588"/>
    <mergeCell ref="B592:B593"/>
    <mergeCell ref="F597:G597"/>
    <mergeCell ref="F598:G598"/>
    <mergeCell ref="F639:G639"/>
    <mergeCell ref="F640:G640"/>
    <mergeCell ref="B642:B643"/>
    <mergeCell ref="F619:G619"/>
    <mergeCell ref="F620:G620"/>
    <mergeCell ref="F601:G601"/>
    <mergeCell ref="F609:G609"/>
    <mergeCell ref="F610:G610"/>
    <mergeCell ref="B603:B604"/>
    <mergeCell ref="F606:G606"/>
    <mergeCell ref="F607:G607"/>
    <mergeCell ref="F608:G608"/>
    <mergeCell ref="B612:B613"/>
    <mergeCell ref="F616:G616"/>
    <mergeCell ref="F617:G617"/>
    <mergeCell ref="F618:G618"/>
    <mergeCell ref="F324:G324"/>
    <mergeCell ref="F325:G325"/>
    <mergeCell ref="F326:G326"/>
    <mergeCell ref="F327:G327"/>
    <mergeCell ref="F328:G328"/>
    <mergeCell ref="B331:B332"/>
    <mergeCell ref="F339:G339"/>
    <mergeCell ref="F340:G340"/>
    <mergeCell ref="B344:B349"/>
    <mergeCell ref="F355:G355"/>
    <mergeCell ref="F356:G356"/>
    <mergeCell ref="B361:B365"/>
    <mergeCell ref="F368:G368"/>
    <mergeCell ref="B374:B375"/>
    <mergeCell ref="F377:G377"/>
    <mergeCell ref="F395:G395"/>
    <mergeCell ref="B401:B402"/>
    <mergeCell ref="F403:G403"/>
    <mergeCell ref="F378:G378"/>
    <mergeCell ref="F379:G379"/>
    <mergeCell ref="F380:G380"/>
    <mergeCell ref="F381:G381"/>
    <mergeCell ref="F369:G369"/>
    <mergeCell ref="F370:G370"/>
    <mergeCell ref="F371:G371"/>
    <mergeCell ref="F372:G372"/>
    <mergeCell ref="F416:G416"/>
    <mergeCell ref="F417:G417"/>
    <mergeCell ref="B419:B420"/>
    <mergeCell ref="F425:G425"/>
    <mergeCell ref="F426:G426"/>
    <mergeCell ref="B430:B432"/>
    <mergeCell ref="B443:B448"/>
    <mergeCell ref="B449:B452"/>
    <mergeCell ref="F454:G454"/>
    <mergeCell ref="F422:G422"/>
    <mergeCell ref="F423:G423"/>
    <mergeCell ref="F424:G424"/>
    <mergeCell ref="D648:H648"/>
    <mergeCell ref="I648:M648"/>
    <mergeCell ref="A649:C650"/>
    <mergeCell ref="D649:H650"/>
    <mergeCell ref="I649:M650"/>
    <mergeCell ref="F534:G534"/>
    <mergeCell ref="F535:G535"/>
    <mergeCell ref="B544:B546"/>
    <mergeCell ref="B550:B551"/>
    <mergeCell ref="F553:G553"/>
    <mergeCell ref="F554:G554"/>
    <mergeCell ref="F555:G555"/>
    <mergeCell ref="F556:G556"/>
    <mergeCell ref="F557:G557"/>
    <mergeCell ref="B622:B623"/>
    <mergeCell ref="F626:G626"/>
    <mergeCell ref="F627:G627"/>
    <mergeCell ref="F628:G628"/>
    <mergeCell ref="F629:G629"/>
    <mergeCell ref="F630:G630"/>
    <mergeCell ref="B632:B633"/>
    <mergeCell ref="F636:G636"/>
    <mergeCell ref="F637:G637"/>
    <mergeCell ref="F638:G638"/>
  </mergeCells>
  <pageMargins left="0.511811024" right="0.511811024" top="0.78740157499999996" bottom="0.78740157499999996" header="0.31496062000000002" footer="0.31496062000000002"/>
  <pageSetup scale="76" fitToHeight="0" orientation="landscape" r:id="rId1"/>
  <rowBreaks count="1" manualBreakCount="1">
    <brk id="61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9249D-6331-44AD-8781-CB34727A5C09}">
  <sheetPr>
    <pageSetUpPr fitToPage="1"/>
  </sheetPr>
  <dimension ref="A1:AF182"/>
  <sheetViews>
    <sheetView view="pageBreakPreview" zoomScale="120" zoomScaleNormal="85" zoomScaleSheetLayoutView="120" workbookViewId="0">
      <selection activeCell="AA19" sqref="AA19"/>
    </sheetView>
  </sheetViews>
  <sheetFormatPr defaultColWidth="5" defaultRowHeight="14.4" x14ac:dyDescent="0.3"/>
  <cols>
    <col min="1" max="1" width="1.5" style="367" customWidth="1"/>
    <col min="2" max="2" width="7.09765625" style="367" customWidth="1"/>
    <col min="3" max="8" width="5.5" style="367" customWidth="1"/>
    <col min="9" max="9" width="1.5" style="367" customWidth="1"/>
    <col min="10" max="16" width="5.5" style="367" customWidth="1"/>
    <col min="17" max="17" width="1.5" style="367" customWidth="1"/>
    <col min="18" max="16384" width="5" style="367"/>
  </cols>
  <sheetData>
    <row r="1" spans="1:17" ht="17.399999999999999" x14ac:dyDescent="0.3">
      <c r="A1" s="573" t="s">
        <v>875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574"/>
      <c r="Q1" s="575"/>
    </row>
    <row r="2" spans="1:17" x14ac:dyDescent="0.3">
      <c r="A2" s="368"/>
      <c r="B2" s="564"/>
      <c r="C2" s="565"/>
      <c r="D2" s="565"/>
      <c r="E2" s="565"/>
      <c r="F2" s="565"/>
      <c r="G2" s="565"/>
      <c r="H2" s="566"/>
      <c r="I2" s="368"/>
      <c r="J2" s="369"/>
      <c r="K2" s="369"/>
      <c r="L2" s="369"/>
      <c r="M2" s="369"/>
      <c r="N2" s="369"/>
      <c r="O2" s="369"/>
      <c r="P2" s="369"/>
      <c r="Q2" s="368"/>
    </row>
    <row r="3" spans="1:17" x14ac:dyDescent="0.3">
      <c r="A3" s="368"/>
      <c r="B3" s="567"/>
      <c r="C3" s="568"/>
      <c r="D3" s="568"/>
      <c r="E3" s="568"/>
      <c r="F3" s="568"/>
      <c r="G3" s="568"/>
      <c r="H3" s="569"/>
      <c r="I3" s="368"/>
      <c r="J3" s="368"/>
      <c r="K3" s="368"/>
      <c r="L3" s="368"/>
      <c r="M3" s="368"/>
      <c r="N3" s="368"/>
      <c r="O3" s="368"/>
      <c r="P3" s="368"/>
      <c r="Q3" s="368"/>
    </row>
    <row r="4" spans="1:17" x14ac:dyDescent="0.3">
      <c r="A4" s="368"/>
      <c r="B4" s="567"/>
      <c r="C4" s="568"/>
      <c r="D4" s="568"/>
      <c r="E4" s="568"/>
      <c r="F4" s="568"/>
      <c r="G4" s="568"/>
      <c r="H4" s="569"/>
      <c r="I4" s="368"/>
      <c r="J4" s="368"/>
      <c r="K4" s="368"/>
      <c r="L4" s="368"/>
      <c r="M4" s="368"/>
      <c r="N4" s="368"/>
      <c r="O4" s="368"/>
      <c r="P4" s="368"/>
      <c r="Q4" s="368"/>
    </row>
    <row r="5" spans="1:17" x14ac:dyDescent="0.3">
      <c r="A5" s="368"/>
      <c r="B5" s="567"/>
      <c r="C5" s="568"/>
      <c r="D5" s="568"/>
      <c r="E5" s="568"/>
      <c r="F5" s="568"/>
      <c r="G5" s="568"/>
      <c r="H5" s="569"/>
      <c r="I5" s="368"/>
      <c r="J5" s="368"/>
      <c r="K5" s="368"/>
      <c r="L5" s="368"/>
      <c r="M5" s="368"/>
      <c r="N5" s="368"/>
      <c r="O5" s="368"/>
      <c r="P5" s="368"/>
      <c r="Q5" s="368"/>
    </row>
    <row r="6" spans="1:17" x14ac:dyDescent="0.3">
      <c r="A6" s="368"/>
      <c r="B6" s="567"/>
      <c r="C6" s="568"/>
      <c r="D6" s="568"/>
      <c r="E6" s="568"/>
      <c r="F6" s="568"/>
      <c r="G6" s="568"/>
      <c r="H6" s="569"/>
      <c r="I6" s="368"/>
      <c r="J6" s="368"/>
      <c r="K6" s="368"/>
      <c r="L6" s="368"/>
      <c r="M6" s="368"/>
      <c r="N6" s="368"/>
      <c r="O6" s="368"/>
      <c r="P6" s="368"/>
      <c r="Q6" s="368"/>
    </row>
    <row r="7" spans="1:17" x14ac:dyDescent="0.3">
      <c r="A7" s="368"/>
      <c r="B7" s="567"/>
      <c r="C7" s="568"/>
      <c r="D7" s="568"/>
      <c r="E7" s="568"/>
      <c r="F7" s="568"/>
      <c r="G7" s="568"/>
      <c r="H7" s="569"/>
      <c r="I7" s="368"/>
      <c r="J7" s="368"/>
      <c r="K7" s="368"/>
      <c r="L7" s="368"/>
      <c r="M7" s="368"/>
      <c r="N7" s="368"/>
      <c r="O7" s="368"/>
      <c r="P7" s="368"/>
      <c r="Q7" s="368"/>
    </row>
    <row r="8" spans="1:17" x14ac:dyDescent="0.3">
      <c r="A8" s="368"/>
      <c r="B8" s="567"/>
      <c r="C8" s="568"/>
      <c r="D8" s="568"/>
      <c r="E8" s="568"/>
      <c r="F8" s="568"/>
      <c r="G8" s="568"/>
      <c r="H8" s="569"/>
      <c r="I8" s="368"/>
      <c r="J8" s="368"/>
      <c r="K8" s="368"/>
      <c r="L8" s="368"/>
      <c r="M8" s="368"/>
      <c r="N8" s="368"/>
      <c r="O8" s="368"/>
      <c r="P8" s="368"/>
      <c r="Q8" s="368"/>
    </row>
    <row r="9" spans="1:17" x14ac:dyDescent="0.3">
      <c r="A9" s="368"/>
      <c r="B9" s="567"/>
      <c r="C9" s="568"/>
      <c r="D9" s="568"/>
      <c r="E9" s="568"/>
      <c r="F9" s="568"/>
      <c r="G9" s="568"/>
      <c r="H9" s="569"/>
      <c r="I9" s="368"/>
      <c r="J9" s="368"/>
      <c r="K9" s="368"/>
      <c r="L9" s="368"/>
      <c r="M9" s="368"/>
      <c r="N9" s="368"/>
      <c r="O9" s="368"/>
      <c r="P9" s="368"/>
      <c r="Q9" s="368"/>
    </row>
    <row r="10" spans="1:17" x14ac:dyDescent="0.3">
      <c r="A10" s="368"/>
      <c r="B10" s="567"/>
      <c r="C10" s="568"/>
      <c r="D10" s="568"/>
      <c r="E10" s="568"/>
      <c r="F10" s="568"/>
      <c r="G10" s="568"/>
      <c r="H10" s="569"/>
      <c r="I10" s="368"/>
      <c r="J10" s="368"/>
      <c r="K10" s="368"/>
      <c r="L10" s="368"/>
      <c r="M10" s="368"/>
      <c r="N10" s="368"/>
      <c r="O10" s="368"/>
      <c r="P10" s="368"/>
      <c r="Q10" s="368"/>
    </row>
    <row r="11" spans="1:17" x14ac:dyDescent="0.3">
      <c r="A11" s="368"/>
      <c r="B11" s="567"/>
      <c r="C11" s="568"/>
      <c r="D11" s="568"/>
      <c r="E11" s="568"/>
      <c r="F11" s="568"/>
      <c r="G11" s="568"/>
      <c r="H11" s="569"/>
      <c r="I11" s="368"/>
      <c r="J11" s="368"/>
      <c r="K11" s="368"/>
      <c r="L11" s="368"/>
      <c r="M11" s="368"/>
      <c r="N11" s="368"/>
      <c r="O11" s="368"/>
      <c r="P11" s="368"/>
      <c r="Q11" s="368"/>
    </row>
    <row r="12" spans="1:17" x14ac:dyDescent="0.3">
      <c r="A12" s="368"/>
      <c r="B12" s="570"/>
      <c r="C12" s="571"/>
      <c r="D12" s="571"/>
      <c r="E12" s="571"/>
      <c r="F12" s="571"/>
      <c r="G12" s="571"/>
      <c r="H12" s="572"/>
      <c r="I12" s="368"/>
      <c r="J12" s="368"/>
      <c r="K12" s="368"/>
      <c r="L12" s="368"/>
      <c r="M12" s="368"/>
      <c r="N12" s="368"/>
      <c r="O12" s="368"/>
      <c r="P12" s="368"/>
      <c r="Q12" s="368"/>
    </row>
    <row r="13" spans="1:17" ht="37.5" customHeight="1" x14ac:dyDescent="0.3">
      <c r="A13" s="368"/>
      <c r="B13" s="370" t="s">
        <v>638</v>
      </c>
      <c r="C13" s="563" t="str">
        <f>VLOOKUP(B13,'[3]Orçamento Sintético'!A:J,4,0)</f>
        <v>ARMAÇÃO DE ESTRUTURAS DIVERSAS DE CONCRETO ARMADO, EXCETO VIGAS, PILARES, LAJES E FUNDAÇÕES, UTILIZANDO AÇO CA-50 DE 6,3 MM - MONTAGEM. AF_06/2022</v>
      </c>
      <c r="D13" s="563"/>
      <c r="E13" s="563"/>
      <c r="F13" s="563"/>
      <c r="G13" s="563"/>
      <c r="H13" s="563"/>
      <c r="I13" s="368"/>
      <c r="J13" s="372" t="s">
        <v>639</v>
      </c>
      <c r="K13" s="563" t="str">
        <f>VLOOKUP(J13,'[3]Orçamento Sintético'!A:J,4,0)</f>
        <v>ARMAÇÃO DE ESTRUTURAS DIVERSAS DE CONCRETO ARMADO, EXCETO VIGAS, PILARES, LAJES E FUNDAÇÕES, UTILIZANDO AÇO CA-50 DE 8,0 MM - MONTAGEM. AF_06/2022</v>
      </c>
      <c r="L13" s="563"/>
      <c r="M13" s="563"/>
      <c r="N13" s="563"/>
      <c r="O13" s="563"/>
      <c r="P13" s="563"/>
      <c r="Q13" s="368"/>
    </row>
    <row r="14" spans="1:17" x14ac:dyDescent="0.3">
      <c r="A14" s="368"/>
      <c r="B14" s="564"/>
      <c r="C14" s="565"/>
      <c r="D14" s="565"/>
      <c r="E14" s="565"/>
      <c r="F14" s="565"/>
      <c r="G14" s="565"/>
      <c r="H14" s="566"/>
      <c r="I14" s="368"/>
      <c r="J14" s="369"/>
      <c r="K14" s="369"/>
      <c r="L14" s="369"/>
      <c r="M14" s="369"/>
      <c r="N14" s="369"/>
      <c r="O14" s="369"/>
      <c r="P14" s="369"/>
      <c r="Q14" s="368"/>
    </row>
    <row r="15" spans="1:17" x14ac:dyDescent="0.3">
      <c r="A15" s="368"/>
      <c r="B15" s="567"/>
      <c r="C15" s="568"/>
      <c r="D15" s="568"/>
      <c r="E15" s="568"/>
      <c r="F15" s="568"/>
      <c r="G15" s="568"/>
      <c r="H15" s="569"/>
      <c r="I15" s="368"/>
      <c r="J15" s="368"/>
      <c r="K15" s="368"/>
      <c r="L15" s="368"/>
      <c r="M15" s="368"/>
      <c r="N15" s="368"/>
      <c r="O15" s="368"/>
      <c r="P15" s="368"/>
      <c r="Q15" s="368"/>
    </row>
    <row r="16" spans="1:17" x14ac:dyDescent="0.3">
      <c r="A16" s="368"/>
      <c r="B16" s="567"/>
      <c r="C16" s="568"/>
      <c r="D16" s="568"/>
      <c r="E16" s="568"/>
      <c r="F16" s="568"/>
      <c r="G16" s="568"/>
      <c r="H16" s="569"/>
      <c r="I16" s="368"/>
      <c r="J16" s="368"/>
      <c r="K16" s="368"/>
      <c r="L16" s="368"/>
      <c r="M16" s="368"/>
      <c r="N16" s="368"/>
      <c r="O16" s="368"/>
      <c r="P16" s="368"/>
      <c r="Q16" s="368"/>
    </row>
    <row r="17" spans="1:17" x14ac:dyDescent="0.3">
      <c r="A17" s="368"/>
      <c r="B17" s="567"/>
      <c r="C17" s="568"/>
      <c r="D17" s="568"/>
      <c r="E17" s="568"/>
      <c r="F17" s="568"/>
      <c r="G17" s="568"/>
      <c r="H17" s="569"/>
      <c r="I17" s="368"/>
      <c r="J17" s="368"/>
      <c r="K17" s="368"/>
      <c r="L17" s="368"/>
      <c r="M17" s="368"/>
      <c r="N17" s="368"/>
      <c r="O17" s="368"/>
      <c r="P17" s="368"/>
      <c r="Q17" s="368"/>
    </row>
    <row r="18" spans="1:17" x14ac:dyDescent="0.3">
      <c r="A18" s="368"/>
      <c r="B18" s="567"/>
      <c r="C18" s="568"/>
      <c r="D18" s="568"/>
      <c r="E18" s="568"/>
      <c r="F18" s="568"/>
      <c r="G18" s="568"/>
      <c r="H18" s="569"/>
      <c r="I18" s="368"/>
      <c r="J18" s="368"/>
      <c r="K18" s="368"/>
      <c r="L18" s="368"/>
      <c r="M18" s="368"/>
      <c r="N18" s="368"/>
      <c r="O18" s="368"/>
      <c r="P18" s="368"/>
      <c r="Q18" s="368"/>
    </row>
    <row r="19" spans="1:17" x14ac:dyDescent="0.3">
      <c r="A19" s="368"/>
      <c r="B19" s="567"/>
      <c r="C19" s="568"/>
      <c r="D19" s="568"/>
      <c r="E19" s="568"/>
      <c r="F19" s="568"/>
      <c r="G19" s="568"/>
      <c r="H19" s="569"/>
      <c r="I19" s="368"/>
      <c r="J19" s="368"/>
      <c r="K19" s="368"/>
      <c r="L19" s="368"/>
      <c r="M19" s="368"/>
      <c r="N19" s="368"/>
      <c r="O19" s="368"/>
      <c r="P19" s="368"/>
      <c r="Q19" s="368"/>
    </row>
    <row r="20" spans="1:17" x14ac:dyDescent="0.3">
      <c r="A20" s="368"/>
      <c r="B20" s="567"/>
      <c r="C20" s="568"/>
      <c r="D20" s="568"/>
      <c r="E20" s="568"/>
      <c r="F20" s="568"/>
      <c r="G20" s="568"/>
      <c r="H20" s="569"/>
      <c r="I20" s="368"/>
      <c r="J20" s="368"/>
      <c r="K20" s="368"/>
      <c r="L20" s="368"/>
      <c r="M20" s="368"/>
      <c r="N20" s="368"/>
      <c r="O20" s="368"/>
      <c r="P20" s="368"/>
      <c r="Q20" s="368"/>
    </row>
    <row r="21" spans="1:17" x14ac:dyDescent="0.3">
      <c r="A21" s="368"/>
      <c r="B21" s="567"/>
      <c r="C21" s="568"/>
      <c r="D21" s="568"/>
      <c r="E21" s="568"/>
      <c r="F21" s="568"/>
      <c r="G21" s="568"/>
      <c r="H21" s="569"/>
      <c r="I21" s="368"/>
      <c r="J21" s="368"/>
      <c r="K21" s="368"/>
      <c r="L21" s="368"/>
      <c r="M21" s="368"/>
      <c r="N21" s="368"/>
      <c r="O21" s="368"/>
      <c r="P21" s="368"/>
      <c r="Q21" s="368"/>
    </row>
    <row r="22" spans="1:17" x14ac:dyDescent="0.3">
      <c r="A22" s="368"/>
      <c r="B22" s="567"/>
      <c r="C22" s="568"/>
      <c r="D22" s="568"/>
      <c r="E22" s="568"/>
      <c r="F22" s="568"/>
      <c r="G22" s="568"/>
      <c r="H22" s="569"/>
      <c r="I22" s="368"/>
      <c r="J22" s="368"/>
      <c r="K22" s="368"/>
      <c r="L22" s="368"/>
      <c r="M22" s="368"/>
      <c r="N22" s="368"/>
      <c r="O22" s="368"/>
      <c r="P22" s="368"/>
      <c r="Q22" s="368"/>
    </row>
    <row r="23" spans="1:17" x14ac:dyDescent="0.3">
      <c r="A23" s="368"/>
      <c r="B23" s="567"/>
      <c r="C23" s="568"/>
      <c r="D23" s="568"/>
      <c r="E23" s="568"/>
      <c r="F23" s="568"/>
      <c r="G23" s="568"/>
      <c r="H23" s="569"/>
      <c r="I23" s="368"/>
      <c r="J23" s="368"/>
      <c r="K23" s="368"/>
      <c r="L23" s="368"/>
      <c r="M23" s="368"/>
      <c r="N23" s="368"/>
      <c r="O23" s="368"/>
      <c r="P23" s="368"/>
      <c r="Q23" s="368"/>
    </row>
    <row r="24" spans="1:17" x14ac:dyDescent="0.3">
      <c r="A24" s="368"/>
      <c r="B24" s="570"/>
      <c r="C24" s="571"/>
      <c r="D24" s="571"/>
      <c r="E24" s="571"/>
      <c r="F24" s="571"/>
      <c r="G24" s="571"/>
      <c r="H24" s="572"/>
      <c r="I24" s="368"/>
      <c r="J24" s="368"/>
      <c r="K24" s="368"/>
      <c r="L24" s="368"/>
      <c r="M24" s="368"/>
      <c r="N24" s="368"/>
      <c r="O24" s="368"/>
      <c r="P24" s="368"/>
      <c r="Q24" s="368"/>
    </row>
    <row r="25" spans="1:17" s="373" customFormat="1" ht="38.25" customHeight="1" x14ac:dyDescent="0.25">
      <c r="A25" s="368"/>
      <c r="B25" s="370" t="s">
        <v>640</v>
      </c>
      <c r="C25" s="563" t="str">
        <f>VLOOKUP(B25,'[3]Orçamento Sintético'!A:J,4,0)</f>
        <v>ARMAÇÃO DE ESTRUTURAS DIVERSAS DE CONCRETO ARMADO, EXCETO VIGAS, PILARES, LAJES E FUNDAÇÕES, UTILIZANDO AÇO CA-50 DE 6,3 MM - MONTAGEM. AF_06/2022</v>
      </c>
      <c r="D25" s="563"/>
      <c r="E25" s="563"/>
      <c r="F25" s="563"/>
      <c r="G25" s="563"/>
      <c r="H25" s="563"/>
      <c r="I25" s="368"/>
      <c r="J25" s="372" t="s">
        <v>649</v>
      </c>
      <c r="K25" s="563" t="str">
        <f>VLOOKUP(J25,'[3]Orçamento Sintético'!A:J,4,0)</f>
        <v>MONTAGEM E DESMONTAGEM DE FÔRMA DE VIGA, ESCORAMENTO COM GARFO DE MADEIRA, PÉ-DIREITO SIMPLES, EM CHAPA DE MADEIRA PLASTIFICADA, 12 UTILIZAÇÕES. AF_09/2020</v>
      </c>
      <c r="L25" s="563"/>
      <c r="M25" s="563"/>
      <c r="N25" s="563"/>
      <c r="O25" s="563"/>
      <c r="P25" s="563"/>
      <c r="Q25" s="368"/>
    </row>
    <row r="26" spans="1:17" ht="17.399999999999999" x14ac:dyDescent="0.3">
      <c r="A26" s="387"/>
      <c r="B26" s="387"/>
      <c r="C26" s="387"/>
      <c r="D26" s="387"/>
      <c r="E26" s="387"/>
      <c r="F26" s="387"/>
      <c r="G26" s="387"/>
      <c r="H26" s="387"/>
      <c r="I26" s="387"/>
      <c r="J26" s="387"/>
      <c r="K26" s="387"/>
      <c r="L26" s="387"/>
      <c r="M26" s="387"/>
      <c r="N26" s="387"/>
      <c r="O26" s="387"/>
      <c r="P26" s="387"/>
      <c r="Q26" s="387"/>
    </row>
    <row r="27" spans="1:17" ht="9" customHeight="1" x14ac:dyDescent="0.3"/>
    <row r="28" spans="1:17" x14ac:dyDescent="0.3">
      <c r="A28" s="368"/>
      <c r="B28" s="564"/>
      <c r="C28" s="565"/>
      <c r="D28" s="565"/>
      <c r="E28" s="565"/>
      <c r="F28" s="565"/>
      <c r="G28" s="565"/>
      <c r="H28" s="566"/>
      <c r="I28" s="368"/>
      <c r="J28" s="369"/>
      <c r="K28" s="369"/>
      <c r="L28" s="369"/>
      <c r="M28" s="369"/>
      <c r="N28" s="369"/>
      <c r="O28" s="369"/>
      <c r="P28" s="369"/>
      <c r="Q28" s="368"/>
    </row>
    <row r="29" spans="1:17" x14ac:dyDescent="0.3">
      <c r="A29" s="368"/>
      <c r="B29" s="567"/>
      <c r="C29" s="568"/>
      <c r="D29" s="568"/>
      <c r="E29" s="568"/>
      <c r="F29" s="568"/>
      <c r="G29" s="568"/>
      <c r="H29" s="569"/>
      <c r="I29" s="368"/>
      <c r="J29" s="368"/>
      <c r="K29" s="368"/>
      <c r="L29" s="368"/>
      <c r="M29" s="368"/>
      <c r="N29" s="368"/>
      <c r="O29" s="368"/>
      <c r="P29" s="368"/>
      <c r="Q29" s="368"/>
    </row>
    <row r="30" spans="1:17" x14ac:dyDescent="0.3">
      <c r="A30" s="368"/>
      <c r="B30" s="567"/>
      <c r="C30" s="568"/>
      <c r="D30" s="568"/>
      <c r="E30" s="568"/>
      <c r="F30" s="568"/>
      <c r="G30" s="568"/>
      <c r="H30" s="569"/>
      <c r="I30" s="368"/>
      <c r="J30" s="368"/>
      <c r="K30" s="368"/>
      <c r="L30" s="368"/>
      <c r="M30" s="368"/>
      <c r="N30" s="368"/>
      <c r="O30" s="368"/>
      <c r="P30" s="368"/>
      <c r="Q30" s="368"/>
    </row>
    <row r="31" spans="1:17" x14ac:dyDescent="0.3">
      <c r="A31" s="368"/>
      <c r="B31" s="567"/>
      <c r="C31" s="568"/>
      <c r="D31" s="568"/>
      <c r="E31" s="568"/>
      <c r="F31" s="568"/>
      <c r="G31" s="568"/>
      <c r="H31" s="569"/>
      <c r="I31" s="368"/>
      <c r="J31" s="368"/>
      <c r="K31" s="368"/>
      <c r="L31" s="368"/>
      <c r="M31" s="368"/>
      <c r="N31" s="368"/>
      <c r="O31" s="368"/>
      <c r="P31" s="368"/>
      <c r="Q31" s="368"/>
    </row>
    <row r="32" spans="1:17" x14ac:dyDescent="0.3">
      <c r="A32" s="368"/>
      <c r="B32" s="567"/>
      <c r="C32" s="568"/>
      <c r="D32" s="568"/>
      <c r="E32" s="568"/>
      <c r="F32" s="568"/>
      <c r="G32" s="568"/>
      <c r="H32" s="569"/>
      <c r="I32" s="368"/>
      <c r="J32" s="368"/>
      <c r="K32" s="368"/>
      <c r="L32" s="368"/>
      <c r="M32" s="368"/>
      <c r="N32" s="368"/>
      <c r="O32" s="368"/>
      <c r="P32" s="368"/>
      <c r="Q32" s="368"/>
    </row>
    <row r="33" spans="1:17" x14ac:dyDescent="0.3">
      <c r="A33" s="368"/>
      <c r="B33" s="567"/>
      <c r="C33" s="568"/>
      <c r="D33" s="568"/>
      <c r="E33" s="568"/>
      <c r="F33" s="568"/>
      <c r="G33" s="568"/>
      <c r="H33" s="569"/>
      <c r="I33" s="368"/>
      <c r="J33" s="368"/>
      <c r="K33" s="368"/>
      <c r="L33" s="368"/>
      <c r="M33" s="368"/>
      <c r="N33" s="368"/>
      <c r="O33" s="368"/>
      <c r="P33" s="368"/>
      <c r="Q33" s="368"/>
    </row>
    <row r="34" spans="1:17" x14ac:dyDescent="0.3">
      <c r="A34" s="368"/>
      <c r="B34" s="567"/>
      <c r="C34" s="568"/>
      <c r="D34" s="568"/>
      <c r="E34" s="568"/>
      <c r="F34" s="568"/>
      <c r="G34" s="568"/>
      <c r="H34" s="569"/>
      <c r="I34" s="368"/>
      <c r="J34" s="368"/>
      <c r="K34" s="368"/>
      <c r="L34" s="368"/>
      <c r="M34" s="368"/>
      <c r="N34" s="368"/>
      <c r="O34" s="368"/>
      <c r="P34" s="368"/>
      <c r="Q34" s="368"/>
    </row>
    <row r="35" spans="1:17" x14ac:dyDescent="0.3">
      <c r="A35" s="368"/>
      <c r="B35" s="567"/>
      <c r="C35" s="568"/>
      <c r="D35" s="568"/>
      <c r="E35" s="568"/>
      <c r="F35" s="568"/>
      <c r="G35" s="568"/>
      <c r="H35" s="569"/>
      <c r="I35" s="368"/>
      <c r="J35" s="368"/>
      <c r="K35" s="368"/>
      <c r="L35" s="368"/>
      <c r="M35" s="368"/>
      <c r="N35" s="368"/>
      <c r="O35" s="368"/>
      <c r="P35" s="368"/>
      <c r="Q35" s="368"/>
    </row>
    <row r="36" spans="1:17" x14ac:dyDescent="0.3">
      <c r="A36" s="368"/>
      <c r="B36" s="567"/>
      <c r="C36" s="568"/>
      <c r="D36" s="568"/>
      <c r="E36" s="568"/>
      <c r="F36" s="568"/>
      <c r="G36" s="568"/>
      <c r="H36" s="569"/>
      <c r="I36" s="368"/>
      <c r="J36" s="368"/>
      <c r="K36" s="368"/>
      <c r="L36" s="368"/>
      <c r="M36" s="368"/>
      <c r="N36" s="368"/>
      <c r="O36" s="368"/>
      <c r="P36" s="368"/>
      <c r="Q36" s="368"/>
    </row>
    <row r="37" spans="1:17" x14ac:dyDescent="0.3">
      <c r="A37" s="368"/>
      <c r="B37" s="567"/>
      <c r="C37" s="568"/>
      <c r="D37" s="568"/>
      <c r="E37" s="568"/>
      <c r="F37" s="568"/>
      <c r="G37" s="568"/>
      <c r="H37" s="569"/>
      <c r="I37" s="368"/>
      <c r="J37" s="368"/>
      <c r="K37" s="368"/>
      <c r="L37" s="368"/>
      <c r="M37" s="368"/>
      <c r="N37" s="368"/>
      <c r="O37" s="368"/>
      <c r="P37" s="368"/>
      <c r="Q37" s="368"/>
    </row>
    <row r="38" spans="1:17" x14ac:dyDescent="0.3">
      <c r="A38" s="368"/>
      <c r="B38" s="570"/>
      <c r="C38" s="571"/>
      <c r="D38" s="571"/>
      <c r="E38" s="571"/>
      <c r="F38" s="571"/>
      <c r="G38" s="571"/>
      <c r="H38" s="572"/>
      <c r="I38" s="368"/>
      <c r="J38" s="368"/>
      <c r="K38" s="368"/>
      <c r="L38" s="368"/>
      <c r="M38" s="368"/>
      <c r="N38" s="368"/>
      <c r="O38" s="368"/>
      <c r="P38" s="368"/>
      <c r="Q38" s="368"/>
    </row>
    <row r="39" spans="1:17" s="373" customFormat="1" ht="38.25" customHeight="1" x14ac:dyDescent="0.25">
      <c r="A39" s="368"/>
      <c r="B39" s="370" t="s">
        <v>650</v>
      </c>
      <c r="C39" s="563" t="str">
        <f>VLOOKUP(B39,'[3]Orçamento Sintético'!A:J,4,0)</f>
        <v>ARMAÇÃO DE PILAR OU VIGA DE ESTRUTURA CONVENCIONAL DE CONCRETO ARMADO UTILIZANDO AÇO CA-50 DE 6,3 MM - MONTAGEM. AF_06/2022</v>
      </c>
      <c r="D39" s="563"/>
      <c r="E39" s="563"/>
      <c r="F39" s="563"/>
      <c r="G39" s="563"/>
      <c r="H39" s="563"/>
      <c r="I39" s="368"/>
      <c r="J39" s="372" t="s">
        <v>651</v>
      </c>
      <c r="K39" s="563" t="str">
        <f>VLOOKUP(J39,'[3]Orçamento Sintético'!A:J,4,0)</f>
        <v>ARMAÇÃO DE PILAR OU VIGA DE ESTRUTURA CONVENCIONAL DE CONCRETO ARMADO UTILIZANDO AÇO CA-50 DE 8,0 MM - MONTAGEM. AF_06/2022</v>
      </c>
      <c r="L39" s="563"/>
      <c r="M39" s="563"/>
      <c r="N39" s="563"/>
      <c r="O39" s="563"/>
      <c r="P39" s="563"/>
      <c r="Q39" s="368"/>
    </row>
    <row r="41" spans="1:17" x14ac:dyDescent="0.3">
      <c r="B41" s="545"/>
      <c r="C41" s="546"/>
      <c r="D41" s="546"/>
      <c r="E41" s="546"/>
      <c r="F41" s="546"/>
      <c r="G41" s="546"/>
      <c r="H41" s="547"/>
      <c r="J41" s="545"/>
      <c r="K41" s="546"/>
      <c r="L41" s="546"/>
      <c r="M41" s="546"/>
      <c r="N41" s="546"/>
      <c r="O41" s="546"/>
      <c r="P41" s="547"/>
    </row>
    <row r="42" spans="1:17" x14ac:dyDescent="0.3">
      <c r="B42" s="548"/>
      <c r="C42" s="549"/>
      <c r="D42" s="549"/>
      <c r="E42" s="549"/>
      <c r="F42" s="549"/>
      <c r="G42" s="549"/>
      <c r="H42" s="550"/>
      <c r="J42" s="548"/>
      <c r="K42" s="549"/>
      <c r="L42" s="549"/>
      <c r="M42" s="549"/>
      <c r="N42" s="549"/>
      <c r="O42" s="549"/>
      <c r="P42" s="550"/>
    </row>
    <row r="43" spans="1:17" x14ac:dyDescent="0.3">
      <c r="B43" s="548"/>
      <c r="C43" s="549"/>
      <c r="D43" s="549"/>
      <c r="E43" s="549"/>
      <c r="F43" s="549"/>
      <c r="G43" s="549"/>
      <c r="H43" s="550"/>
      <c r="J43" s="548"/>
      <c r="K43" s="549"/>
      <c r="L43" s="549"/>
      <c r="M43" s="549"/>
      <c r="N43" s="549"/>
      <c r="O43" s="549"/>
      <c r="P43" s="550"/>
    </row>
    <row r="44" spans="1:17" x14ac:dyDescent="0.3">
      <c r="B44" s="548"/>
      <c r="C44" s="549"/>
      <c r="D44" s="549"/>
      <c r="E44" s="549"/>
      <c r="F44" s="549"/>
      <c r="G44" s="549"/>
      <c r="H44" s="550"/>
      <c r="J44" s="548"/>
      <c r="K44" s="549"/>
      <c r="L44" s="549"/>
      <c r="M44" s="549"/>
      <c r="N44" s="549"/>
      <c r="O44" s="549"/>
      <c r="P44" s="550"/>
    </row>
    <row r="45" spans="1:17" x14ac:dyDescent="0.3">
      <c r="B45" s="548"/>
      <c r="C45" s="549"/>
      <c r="D45" s="549"/>
      <c r="E45" s="549"/>
      <c r="F45" s="549"/>
      <c r="G45" s="549"/>
      <c r="H45" s="550"/>
      <c r="J45" s="548"/>
      <c r="K45" s="549"/>
      <c r="L45" s="549"/>
      <c r="M45" s="549"/>
      <c r="N45" s="549"/>
      <c r="O45" s="549"/>
      <c r="P45" s="550"/>
    </row>
    <row r="46" spans="1:17" x14ac:dyDescent="0.3">
      <c r="B46" s="548"/>
      <c r="C46" s="549"/>
      <c r="D46" s="549"/>
      <c r="E46" s="549"/>
      <c r="F46" s="549"/>
      <c r="G46" s="549"/>
      <c r="H46" s="550"/>
      <c r="J46" s="548"/>
      <c r="K46" s="549"/>
      <c r="L46" s="549"/>
      <c r="M46" s="549"/>
      <c r="N46" s="549"/>
      <c r="O46" s="549"/>
      <c r="P46" s="550"/>
    </row>
    <row r="47" spans="1:17" x14ac:dyDescent="0.3">
      <c r="B47" s="548"/>
      <c r="C47" s="549"/>
      <c r="D47" s="549"/>
      <c r="E47" s="549"/>
      <c r="F47" s="549"/>
      <c r="G47" s="549"/>
      <c r="H47" s="550"/>
      <c r="J47" s="548"/>
      <c r="K47" s="549"/>
      <c r="L47" s="549"/>
      <c r="M47" s="549"/>
      <c r="N47" s="549"/>
      <c r="O47" s="549"/>
      <c r="P47" s="550"/>
    </row>
    <row r="48" spans="1:17" x14ac:dyDescent="0.3">
      <c r="B48" s="548"/>
      <c r="C48" s="549"/>
      <c r="D48" s="549"/>
      <c r="E48" s="549"/>
      <c r="F48" s="549"/>
      <c r="G48" s="549"/>
      <c r="H48" s="550"/>
      <c r="J48" s="548"/>
      <c r="K48" s="549"/>
      <c r="L48" s="549"/>
      <c r="M48" s="549"/>
      <c r="N48" s="549"/>
      <c r="O48" s="549"/>
      <c r="P48" s="550"/>
    </row>
    <row r="49" spans="1:17" x14ac:dyDescent="0.3">
      <c r="B49" s="548"/>
      <c r="C49" s="549"/>
      <c r="D49" s="549"/>
      <c r="E49" s="549"/>
      <c r="F49" s="549"/>
      <c r="G49" s="549"/>
      <c r="H49" s="550"/>
      <c r="J49" s="548"/>
      <c r="K49" s="549"/>
      <c r="L49" s="549"/>
      <c r="M49" s="549"/>
      <c r="N49" s="549"/>
      <c r="O49" s="549"/>
      <c r="P49" s="550"/>
    </row>
    <row r="50" spans="1:17" x14ac:dyDescent="0.3">
      <c r="B50" s="548"/>
      <c r="C50" s="549"/>
      <c r="D50" s="549"/>
      <c r="E50" s="549"/>
      <c r="F50" s="549"/>
      <c r="G50" s="549"/>
      <c r="H50" s="550"/>
      <c r="J50" s="548"/>
      <c r="K50" s="549"/>
      <c r="L50" s="549"/>
      <c r="M50" s="549"/>
      <c r="N50" s="549"/>
      <c r="O50" s="549"/>
      <c r="P50" s="550"/>
    </row>
    <row r="51" spans="1:17" x14ac:dyDescent="0.3">
      <c r="B51" s="551"/>
      <c r="C51" s="552"/>
      <c r="D51" s="552"/>
      <c r="E51" s="552"/>
      <c r="F51" s="552"/>
      <c r="G51" s="552"/>
      <c r="H51" s="553"/>
      <c r="J51" s="551"/>
      <c r="K51" s="552"/>
      <c r="L51" s="552"/>
      <c r="M51" s="552"/>
      <c r="N51" s="552"/>
      <c r="O51" s="552"/>
      <c r="P51" s="553"/>
    </row>
    <row r="52" spans="1:17" s="368" customFormat="1" ht="21.75" customHeight="1" x14ac:dyDescent="0.25">
      <c r="B52" s="372" t="s">
        <v>652</v>
      </c>
      <c r="C52" s="563" t="str">
        <f>VLOOKUP(B52,'[3]Orçamento Sintético'!A:J,4,0)</f>
        <v>ARMAÇÃO DE PILAR OU VIGA DE ESTRUTURA CONVENCIONAL DE CONCRETO ARMADO UTILIZANDO AÇO CA-50 DE 10,0 MM - MONTAGEM. AF_06/2022</v>
      </c>
      <c r="D52" s="563"/>
      <c r="E52" s="563"/>
      <c r="F52" s="563"/>
      <c r="G52" s="563"/>
      <c r="H52" s="563"/>
      <c r="J52" s="372" t="s">
        <v>653</v>
      </c>
      <c r="K52" s="563" t="str">
        <f>VLOOKUP(J52,'[3]Orçamento Sintético'!A:J,4,0)</f>
        <v>ARMAÇÃO DE PILAR OU VIGA DE ESTRUTURA CONVENCIONAL DE CONCRETO ARMADO UTILIZANDO AÇO CA-60 DE 5,0 MM - MONTAGEM. AF_06/2022</v>
      </c>
      <c r="L52" s="563"/>
      <c r="M52" s="563"/>
      <c r="N52" s="563"/>
      <c r="O52" s="563"/>
      <c r="P52" s="563"/>
    </row>
    <row r="53" spans="1:17" ht="7.5" customHeight="1" x14ac:dyDescent="0.3"/>
    <row r="54" spans="1:17" x14ac:dyDescent="0.3">
      <c r="A54" s="368"/>
      <c r="B54" s="564"/>
      <c r="C54" s="565"/>
      <c r="D54" s="565"/>
      <c r="E54" s="565"/>
      <c r="F54" s="565"/>
      <c r="G54" s="565"/>
      <c r="H54" s="566"/>
      <c r="I54" s="368"/>
      <c r="J54" s="564"/>
      <c r="K54" s="565"/>
      <c r="L54" s="565"/>
      <c r="M54" s="565"/>
      <c r="N54" s="565"/>
      <c r="O54" s="565"/>
      <c r="P54" s="566"/>
      <c r="Q54" s="368"/>
    </row>
    <row r="55" spans="1:17" x14ac:dyDescent="0.3">
      <c r="A55" s="368"/>
      <c r="B55" s="567"/>
      <c r="C55" s="568"/>
      <c r="D55" s="568"/>
      <c r="E55" s="568"/>
      <c r="F55" s="568"/>
      <c r="G55" s="568"/>
      <c r="H55" s="569"/>
      <c r="I55" s="368"/>
      <c r="J55" s="567"/>
      <c r="K55" s="568"/>
      <c r="L55" s="568"/>
      <c r="M55" s="568"/>
      <c r="N55" s="568"/>
      <c r="O55" s="568"/>
      <c r="P55" s="569"/>
      <c r="Q55" s="368"/>
    </row>
    <row r="56" spans="1:17" x14ac:dyDescent="0.3">
      <c r="A56" s="368"/>
      <c r="B56" s="567"/>
      <c r="C56" s="568"/>
      <c r="D56" s="568"/>
      <c r="E56" s="568"/>
      <c r="F56" s="568"/>
      <c r="G56" s="568"/>
      <c r="H56" s="569"/>
      <c r="I56" s="368"/>
      <c r="J56" s="567"/>
      <c r="K56" s="568"/>
      <c r="L56" s="568"/>
      <c r="M56" s="568"/>
      <c r="N56" s="568"/>
      <c r="O56" s="568"/>
      <c r="P56" s="569"/>
      <c r="Q56" s="368"/>
    </row>
    <row r="57" spans="1:17" x14ac:dyDescent="0.3">
      <c r="A57" s="368"/>
      <c r="B57" s="567"/>
      <c r="C57" s="568"/>
      <c r="D57" s="568"/>
      <c r="E57" s="568"/>
      <c r="F57" s="568"/>
      <c r="G57" s="568"/>
      <c r="H57" s="569"/>
      <c r="I57" s="368"/>
      <c r="J57" s="567"/>
      <c r="K57" s="568"/>
      <c r="L57" s="568"/>
      <c r="M57" s="568"/>
      <c r="N57" s="568"/>
      <c r="O57" s="568"/>
      <c r="P57" s="569"/>
      <c r="Q57" s="368"/>
    </row>
    <row r="58" spans="1:17" x14ac:dyDescent="0.3">
      <c r="A58" s="368"/>
      <c r="B58" s="567"/>
      <c r="C58" s="568"/>
      <c r="D58" s="568"/>
      <c r="E58" s="568"/>
      <c r="F58" s="568"/>
      <c r="G58" s="568"/>
      <c r="H58" s="569"/>
      <c r="I58" s="368"/>
      <c r="J58" s="567"/>
      <c r="K58" s="568"/>
      <c r="L58" s="568"/>
      <c r="M58" s="568"/>
      <c r="N58" s="568"/>
      <c r="O58" s="568"/>
      <c r="P58" s="569"/>
      <c r="Q58" s="368"/>
    </row>
    <row r="59" spans="1:17" x14ac:dyDescent="0.3">
      <c r="A59" s="368"/>
      <c r="B59" s="567"/>
      <c r="C59" s="568"/>
      <c r="D59" s="568"/>
      <c r="E59" s="568"/>
      <c r="F59" s="568"/>
      <c r="G59" s="568"/>
      <c r="H59" s="569"/>
      <c r="I59" s="368"/>
      <c r="J59" s="567"/>
      <c r="K59" s="568"/>
      <c r="L59" s="568"/>
      <c r="M59" s="568"/>
      <c r="N59" s="568"/>
      <c r="O59" s="568"/>
      <c r="P59" s="569"/>
      <c r="Q59" s="368"/>
    </row>
    <row r="60" spans="1:17" x14ac:dyDescent="0.3">
      <c r="A60" s="368"/>
      <c r="B60" s="567"/>
      <c r="C60" s="568"/>
      <c r="D60" s="568"/>
      <c r="E60" s="568"/>
      <c r="F60" s="568"/>
      <c r="G60" s="568"/>
      <c r="H60" s="569"/>
      <c r="I60" s="368"/>
      <c r="J60" s="567"/>
      <c r="K60" s="568"/>
      <c r="L60" s="568"/>
      <c r="M60" s="568"/>
      <c r="N60" s="568"/>
      <c r="O60" s="568"/>
      <c r="P60" s="569"/>
      <c r="Q60" s="368"/>
    </row>
    <row r="61" spans="1:17" x14ac:dyDescent="0.3">
      <c r="A61" s="368"/>
      <c r="B61" s="567"/>
      <c r="C61" s="568"/>
      <c r="D61" s="568"/>
      <c r="E61" s="568"/>
      <c r="F61" s="568"/>
      <c r="G61" s="568"/>
      <c r="H61" s="569"/>
      <c r="I61" s="368"/>
      <c r="J61" s="567"/>
      <c r="K61" s="568"/>
      <c r="L61" s="568"/>
      <c r="M61" s="568"/>
      <c r="N61" s="568"/>
      <c r="O61" s="568"/>
      <c r="P61" s="569"/>
      <c r="Q61" s="368"/>
    </row>
    <row r="62" spans="1:17" x14ac:dyDescent="0.3">
      <c r="A62" s="368"/>
      <c r="B62" s="567"/>
      <c r="C62" s="568"/>
      <c r="D62" s="568"/>
      <c r="E62" s="568"/>
      <c r="F62" s="568"/>
      <c r="G62" s="568"/>
      <c r="H62" s="569"/>
      <c r="I62" s="368"/>
      <c r="J62" s="567"/>
      <c r="K62" s="568"/>
      <c r="L62" s="568"/>
      <c r="M62" s="568"/>
      <c r="N62" s="568"/>
      <c r="O62" s="568"/>
      <c r="P62" s="569"/>
      <c r="Q62" s="368"/>
    </row>
    <row r="63" spans="1:17" x14ac:dyDescent="0.3">
      <c r="A63" s="368"/>
      <c r="B63" s="567"/>
      <c r="C63" s="568"/>
      <c r="D63" s="568"/>
      <c r="E63" s="568"/>
      <c r="F63" s="568"/>
      <c r="G63" s="568"/>
      <c r="H63" s="569"/>
      <c r="I63" s="368"/>
      <c r="J63" s="567"/>
      <c r="K63" s="568"/>
      <c r="L63" s="568"/>
      <c r="M63" s="568"/>
      <c r="N63" s="568"/>
      <c r="O63" s="568"/>
      <c r="P63" s="569"/>
      <c r="Q63" s="368"/>
    </row>
    <row r="64" spans="1:17" x14ac:dyDescent="0.3">
      <c r="A64" s="368"/>
      <c r="B64" s="570"/>
      <c r="C64" s="571"/>
      <c r="D64" s="571"/>
      <c r="E64" s="571"/>
      <c r="F64" s="571"/>
      <c r="G64" s="571"/>
      <c r="H64" s="572"/>
      <c r="I64" s="368"/>
      <c r="J64" s="570"/>
      <c r="K64" s="571"/>
      <c r="L64" s="571"/>
      <c r="M64" s="571"/>
      <c r="N64" s="571"/>
      <c r="O64" s="571"/>
      <c r="P64" s="572"/>
      <c r="Q64" s="368"/>
    </row>
    <row r="65" spans="1:17" s="373" customFormat="1" ht="24" customHeight="1" x14ac:dyDescent="0.25">
      <c r="A65" s="368"/>
      <c r="B65" s="372" t="s">
        <v>654</v>
      </c>
      <c r="C65" s="563" t="str">
        <f>VLOOKUP(B65,'[3]Orçamento Sintético'!A:J,4,0)</f>
        <v>CONCRETAGEM DE VIGAS E LAJES, FCK=25 MPA, PARA LAJES MACIÇAS OU NERVURADAS COM USO DE BOMBA - LANÇAMENTO, ADENSAMENTO E ACABAMENTO. AF_02/2022_PS</v>
      </c>
      <c r="D65" s="563"/>
      <c r="E65" s="563"/>
      <c r="F65" s="563"/>
      <c r="G65" s="563"/>
      <c r="H65" s="563"/>
      <c r="I65" s="368"/>
      <c r="J65" s="372" t="s">
        <v>655</v>
      </c>
      <c r="K65" s="563" t="str">
        <f>VLOOKUP(J65,'[3]Orçamento Sintético'!A:J,4,0)</f>
        <v>MONTAGEM E DESMONTAGEM DE FÔRMA DE PILARES RETANGULARES E ESTRUTURAS SIMILARES, PÉ-DIREITO SIMPLES, EM CHAPA DE MADEIRA COMPENSADA PLASTIFICADA, 12 UTILIZAÇÕES. AF_09/2020</v>
      </c>
      <c r="L65" s="563"/>
      <c r="M65" s="563"/>
      <c r="N65" s="563"/>
      <c r="O65" s="563"/>
      <c r="P65" s="563"/>
      <c r="Q65" s="368"/>
    </row>
    <row r="66" spans="1:17" ht="5.25" customHeight="1" x14ac:dyDescent="0.3"/>
    <row r="67" spans="1:17" x14ac:dyDescent="0.3">
      <c r="B67" s="545"/>
      <c r="C67" s="546"/>
      <c r="D67" s="546"/>
      <c r="E67" s="546"/>
      <c r="F67" s="546"/>
      <c r="G67" s="546"/>
      <c r="H67" s="547"/>
      <c r="J67" s="545"/>
      <c r="K67" s="546"/>
      <c r="L67" s="546"/>
      <c r="M67" s="546"/>
      <c r="N67" s="546"/>
      <c r="O67" s="546"/>
      <c r="P67" s="547"/>
    </row>
    <row r="68" spans="1:17" x14ac:dyDescent="0.3">
      <c r="B68" s="548"/>
      <c r="C68" s="549"/>
      <c r="D68" s="549"/>
      <c r="E68" s="549"/>
      <c r="F68" s="549"/>
      <c r="G68" s="549"/>
      <c r="H68" s="550"/>
      <c r="J68" s="548"/>
      <c r="K68" s="549"/>
      <c r="L68" s="549"/>
      <c r="M68" s="549"/>
      <c r="N68" s="549"/>
      <c r="O68" s="549"/>
      <c r="P68" s="550"/>
    </row>
    <row r="69" spans="1:17" x14ac:dyDescent="0.3">
      <c r="B69" s="548"/>
      <c r="C69" s="549"/>
      <c r="D69" s="549"/>
      <c r="E69" s="549"/>
      <c r="F69" s="549"/>
      <c r="G69" s="549"/>
      <c r="H69" s="550"/>
      <c r="J69" s="548"/>
      <c r="K69" s="549"/>
      <c r="L69" s="549"/>
      <c r="M69" s="549"/>
      <c r="N69" s="549"/>
      <c r="O69" s="549"/>
      <c r="P69" s="550"/>
    </row>
    <row r="70" spans="1:17" x14ac:dyDescent="0.3">
      <c r="B70" s="548"/>
      <c r="C70" s="549"/>
      <c r="D70" s="549"/>
      <c r="E70" s="549"/>
      <c r="F70" s="549"/>
      <c r="G70" s="549"/>
      <c r="H70" s="550"/>
      <c r="J70" s="548"/>
      <c r="K70" s="549"/>
      <c r="L70" s="549"/>
      <c r="M70" s="549"/>
      <c r="N70" s="549"/>
      <c r="O70" s="549"/>
      <c r="P70" s="550"/>
    </row>
    <row r="71" spans="1:17" x14ac:dyDescent="0.3">
      <c r="B71" s="548"/>
      <c r="C71" s="549"/>
      <c r="D71" s="549"/>
      <c r="E71" s="549"/>
      <c r="F71" s="549"/>
      <c r="G71" s="549"/>
      <c r="H71" s="550"/>
      <c r="J71" s="548"/>
      <c r="K71" s="549"/>
      <c r="L71" s="549"/>
      <c r="M71" s="549"/>
      <c r="N71" s="549"/>
      <c r="O71" s="549"/>
      <c r="P71" s="550"/>
    </row>
    <row r="72" spans="1:17" x14ac:dyDescent="0.3">
      <c r="B72" s="548"/>
      <c r="C72" s="549"/>
      <c r="D72" s="549"/>
      <c r="E72" s="549"/>
      <c r="F72" s="549"/>
      <c r="G72" s="549"/>
      <c r="H72" s="550"/>
      <c r="J72" s="548"/>
      <c r="K72" s="549"/>
      <c r="L72" s="549"/>
      <c r="M72" s="549"/>
      <c r="N72" s="549"/>
      <c r="O72" s="549"/>
      <c r="P72" s="550"/>
    </row>
    <row r="73" spans="1:17" x14ac:dyDescent="0.3">
      <c r="B73" s="548"/>
      <c r="C73" s="549"/>
      <c r="D73" s="549"/>
      <c r="E73" s="549"/>
      <c r="F73" s="549"/>
      <c r="G73" s="549"/>
      <c r="H73" s="550"/>
      <c r="J73" s="548"/>
      <c r="K73" s="549"/>
      <c r="L73" s="549"/>
      <c r="M73" s="549"/>
      <c r="N73" s="549"/>
      <c r="O73" s="549"/>
      <c r="P73" s="550"/>
    </row>
    <row r="74" spans="1:17" x14ac:dyDescent="0.3">
      <c r="B74" s="548"/>
      <c r="C74" s="549"/>
      <c r="D74" s="549"/>
      <c r="E74" s="549"/>
      <c r="F74" s="549"/>
      <c r="G74" s="549"/>
      <c r="H74" s="550"/>
      <c r="J74" s="548"/>
      <c r="K74" s="549"/>
      <c r="L74" s="549"/>
      <c r="M74" s="549"/>
      <c r="N74" s="549"/>
      <c r="O74" s="549"/>
      <c r="P74" s="550"/>
    </row>
    <row r="75" spans="1:17" x14ac:dyDescent="0.3">
      <c r="B75" s="548"/>
      <c r="C75" s="549"/>
      <c r="D75" s="549"/>
      <c r="E75" s="549"/>
      <c r="F75" s="549"/>
      <c r="G75" s="549"/>
      <c r="H75" s="550"/>
      <c r="J75" s="548"/>
      <c r="K75" s="549"/>
      <c r="L75" s="549"/>
      <c r="M75" s="549"/>
      <c r="N75" s="549"/>
      <c r="O75" s="549"/>
      <c r="P75" s="550"/>
    </row>
    <row r="76" spans="1:17" x14ac:dyDescent="0.3">
      <c r="B76" s="548"/>
      <c r="C76" s="549"/>
      <c r="D76" s="549"/>
      <c r="E76" s="549"/>
      <c r="F76" s="549"/>
      <c r="G76" s="549"/>
      <c r="H76" s="550"/>
      <c r="J76" s="548"/>
      <c r="K76" s="549"/>
      <c r="L76" s="549"/>
      <c r="M76" s="549"/>
      <c r="N76" s="549"/>
      <c r="O76" s="549"/>
      <c r="P76" s="550"/>
    </row>
    <row r="77" spans="1:17" x14ac:dyDescent="0.3">
      <c r="B77" s="551"/>
      <c r="C77" s="552"/>
      <c r="D77" s="552"/>
      <c r="E77" s="552"/>
      <c r="F77" s="552"/>
      <c r="G77" s="552"/>
      <c r="H77" s="553"/>
      <c r="J77" s="551"/>
      <c r="K77" s="552"/>
      <c r="L77" s="552"/>
      <c r="M77" s="552"/>
      <c r="N77" s="552"/>
      <c r="O77" s="552"/>
      <c r="P77" s="553"/>
    </row>
    <row r="78" spans="1:17" s="368" customFormat="1" ht="37.950000000000003" customHeight="1" x14ac:dyDescent="0.25">
      <c r="B78" s="372" t="s">
        <v>656</v>
      </c>
      <c r="C78" s="563" t="str">
        <f>VLOOKUP(B78,'[3]Orçamento Sintético'!A:J,4,0)</f>
        <v>ARMAÇÃO DE ESTRUTURAS DIVERSAS DE CONCRETO ARMADO, EXCETO VIGAS, PILARES, LAJES E FUNDAÇÕES, UTILIZANDO AÇO CA-50 DE 10,0 MM - MONTAGEM. AF_06/2022</v>
      </c>
      <c r="D78" s="563"/>
      <c r="E78" s="563"/>
      <c r="F78" s="563"/>
      <c r="G78" s="563"/>
      <c r="H78" s="563"/>
      <c r="J78" s="372" t="s">
        <v>657</v>
      </c>
      <c r="K78" s="563" t="str">
        <f>VLOOKUP(J78,'[3]Orçamento Sintético'!A:J,4,0)</f>
        <v>ARMAÇÃO DE ESTRUTURAS DIVERSAS DE CONCRETO ARMADO, EXCETO VIGAS, PILARES, LAJES E FUNDAÇÕES, UTILIZANDO AÇO CA-50 DE 12,5 MM - MONTAGEM. AF_06/2022</v>
      </c>
      <c r="L78" s="563"/>
      <c r="M78" s="563"/>
      <c r="N78" s="563"/>
      <c r="O78" s="563"/>
      <c r="P78" s="563"/>
    </row>
    <row r="79" spans="1:17" ht="14.25" customHeight="1" x14ac:dyDescent="0.3"/>
    <row r="80" spans="1:17" x14ac:dyDescent="0.3">
      <c r="B80" s="545"/>
      <c r="C80" s="546"/>
      <c r="D80" s="546"/>
      <c r="E80" s="546"/>
      <c r="F80" s="546"/>
      <c r="G80" s="546"/>
      <c r="H80" s="547"/>
      <c r="J80" s="545"/>
      <c r="K80" s="546"/>
      <c r="L80" s="546"/>
      <c r="M80" s="546"/>
      <c r="N80" s="546"/>
      <c r="O80" s="546"/>
      <c r="P80" s="547"/>
    </row>
    <row r="81" spans="2:32" x14ac:dyDescent="0.3">
      <c r="B81" s="548"/>
      <c r="C81" s="549"/>
      <c r="D81" s="549"/>
      <c r="E81" s="549"/>
      <c r="F81" s="549"/>
      <c r="G81" s="549"/>
      <c r="H81" s="550"/>
      <c r="J81" s="548"/>
      <c r="K81" s="549"/>
      <c r="L81" s="549"/>
      <c r="M81" s="549"/>
      <c r="N81" s="549"/>
      <c r="O81" s="549"/>
      <c r="P81" s="550"/>
    </row>
    <row r="82" spans="2:32" x14ac:dyDescent="0.3">
      <c r="B82" s="548"/>
      <c r="C82" s="549"/>
      <c r="D82" s="549"/>
      <c r="E82" s="549"/>
      <c r="F82" s="549"/>
      <c r="G82" s="549"/>
      <c r="H82" s="550"/>
      <c r="J82" s="548"/>
      <c r="K82" s="549"/>
      <c r="L82" s="549"/>
      <c r="M82" s="549"/>
      <c r="N82" s="549"/>
      <c r="O82" s="549"/>
      <c r="P82" s="550"/>
    </row>
    <row r="83" spans="2:32" x14ac:dyDescent="0.3">
      <c r="B83" s="548"/>
      <c r="C83" s="549"/>
      <c r="D83" s="549"/>
      <c r="E83" s="549"/>
      <c r="F83" s="549"/>
      <c r="G83" s="549"/>
      <c r="H83" s="550"/>
      <c r="J83" s="548"/>
      <c r="K83" s="549"/>
      <c r="L83" s="549"/>
      <c r="M83" s="549"/>
      <c r="N83" s="549"/>
      <c r="O83" s="549"/>
      <c r="P83" s="550"/>
    </row>
    <row r="84" spans="2:32" x14ac:dyDescent="0.3">
      <c r="B84" s="548"/>
      <c r="C84" s="549"/>
      <c r="D84" s="549"/>
      <c r="E84" s="549"/>
      <c r="F84" s="549"/>
      <c r="G84" s="549"/>
      <c r="H84" s="550"/>
      <c r="J84" s="548"/>
      <c r="K84" s="549"/>
      <c r="L84" s="549"/>
      <c r="M84" s="549"/>
      <c r="N84" s="549"/>
      <c r="O84" s="549"/>
      <c r="P84" s="550"/>
    </row>
    <row r="85" spans="2:32" x14ac:dyDescent="0.3">
      <c r="B85" s="548"/>
      <c r="C85" s="549"/>
      <c r="D85" s="549"/>
      <c r="E85" s="549"/>
      <c r="F85" s="549"/>
      <c r="G85" s="549"/>
      <c r="H85" s="550"/>
      <c r="J85" s="548"/>
      <c r="K85" s="549"/>
      <c r="L85" s="549"/>
      <c r="M85" s="549"/>
      <c r="N85" s="549"/>
      <c r="O85" s="549"/>
      <c r="P85" s="550"/>
    </row>
    <row r="86" spans="2:32" x14ac:dyDescent="0.3">
      <c r="B86" s="548"/>
      <c r="C86" s="549"/>
      <c r="D86" s="549"/>
      <c r="E86" s="549"/>
      <c r="F86" s="549"/>
      <c r="G86" s="549"/>
      <c r="H86" s="550"/>
      <c r="J86" s="548"/>
      <c r="K86" s="549"/>
      <c r="L86" s="549"/>
      <c r="M86" s="549"/>
      <c r="N86" s="549"/>
      <c r="O86" s="549"/>
      <c r="P86" s="550"/>
    </row>
    <row r="87" spans="2:32" x14ac:dyDescent="0.3">
      <c r="B87" s="548"/>
      <c r="C87" s="549"/>
      <c r="D87" s="549"/>
      <c r="E87" s="549"/>
      <c r="F87" s="549"/>
      <c r="G87" s="549"/>
      <c r="H87" s="550"/>
      <c r="J87" s="548"/>
      <c r="K87" s="549"/>
      <c r="L87" s="549"/>
      <c r="M87" s="549"/>
      <c r="N87" s="549"/>
      <c r="O87" s="549"/>
      <c r="P87" s="550"/>
    </row>
    <row r="88" spans="2:32" x14ac:dyDescent="0.3">
      <c r="B88" s="548"/>
      <c r="C88" s="549"/>
      <c r="D88" s="549"/>
      <c r="E88" s="549"/>
      <c r="F88" s="549"/>
      <c r="G88" s="549"/>
      <c r="H88" s="550"/>
      <c r="J88" s="548"/>
      <c r="K88" s="549"/>
      <c r="L88" s="549"/>
      <c r="M88" s="549"/>
      <c r="N88" s="549"/>
      <c r="O88" s="549"/>
      <c r="P88" s="550"/>
    </row>
    <row r="89" spans="2:32" x14ac:dyDescent="0.3">
      <c r="B89" s="548"/>
      <c r="C89" s="549"/>
      <c r="D89" s="549"/>
      <c r="E89" s="549"/>
      <c r="F89" s="549"/>
      <c r="G89" s="549"/>
      <c r="H89" s="550"/>
      <c r="J89" s="548"/>
      <c r="K89" s="549"/>
      <c r="L89" s="549"/>
      <c r="M89" s="549"/>
      <c r="N89" s="549"/>
      <c r="O89" s="549"/>
      <c r="P89" s="550"/>
    </row>
    <row r="90" spans="2:32" x14ac:dyDescent="0.3">
      <c r="B90" s="551"/>
      <c r="C90" s="552"/>
      <c r="D90" s="552"/>
      <c r="E90" s="552"/>
      <c r="F90" s="552"/>
      <c r="G90" s="552"/>
      <c r="H90" s="553"/>
      <c r="J90" s="551"/>
      <c r="K90" s="552"/>
      <c r="L90" s="552"/>
      <c r="M90" s="552"/>
      <c r="N90" s="552"/>
      <c r="O90" s="552"/>
      <c r="P90" s="553"/>
    </row>
    <row r="91" spans="2:32" ht="50.25" customHeight="1" x14ac:dyDescent="0.3">
      <c r="B91" s="372" t="s">
        <v>658</v>
      </c>
      <c r="C91" s="563" t="str">
        <f>VLOOKUP(B91,'[3]Orçamento Sintético'!A:J,4,0)</f>
        <v>ARMAÇÃO DE ESTRUTURAS DIVERSAS DE CONCRETO ARMADO, EXCETO VIGAS, PILARES, LAJES E FUNDAÇÕES, UTILIZANDO AÇO CA-60 DE 5,0 MM - MONTAGEM. AF_06/2022</v>
      </c>
      <c r="D91" s="563"/>
      <c r="E91" s="563"/>
      <c r="F91" s="563"/>
      <c r="G91" s="563"/>
      <c r="H91" s="563"/>
      <c r="J91" s="372" t="s">
        <v>659</v>
      </c>
      <c r="K91" s="563" t="str">
        <f>VLOOKUP(J91,'[3]Orçamento Sintético'!A:J,4,0)</f>
        <v>CONCRETAGEM DE PILARES, FCK = 25 MPA, COM USO DE BOMBA - LANÇAMENTO, ADENSAMENTO E ACABAMENTO. AF_02/2022_PS</v>
      </c>
      <c r="L91" s="563"/>
      <c r="M91" s="563"/>
      <c r="N91" s="563"/>
      <c r="O91" s="563"/>
      <c r="P91" s="563"/>
    </row>
    <row r="92" spans="2:32" ht="12" customHeight="1" x14ac:dyDescent="0.3"/>
    <row r="93" spans="2:32" x14ac:dyDescent="0.3">
      <c r="B93" s="545"/>
      <c r="C93" s="546"/>
      <c r="D93" s="546"/>
      <c r="E93" s="546"/>
      <c r="F93" s="546"/>
      <c r="G93" s="546"/>
      <c r="H93" s="547"/>
      <c r="J93" s="545"/>
      <c r="K93" s="546"/>
      <c r="L93" s="546"/>
      <c r="M93" s="546"/>
      <c r="N93" s="546"/>
      <c r="O93" s="546"/>
      <c r="P93" s="547"/>
    </row>
    <row r="94" spans="2:32" x14ac:dyDescent="0.3">
      <c r="B94" s="548"/>
      <c r="C94" s="549"/>
      <c r="D94" s="549"/>
      <c r="E94" s="549"/>
      <c r="F94" s="549"/>
      <c r="G94" s="549"/>
      <c r="H94" s="550"/>
      <c r="J94" s="548"/>
      <c r="K94" s="549"/>
      <c r="L94" s="549"/>
      <c r="M94" s="549"/>
      <c r="N94" s="549"/>
      <c r="O94" s="549"/>
      <c r="P94" s="550"/>
    </row>
    <row r="95" spans="2:32" x14ac:dyDescent="0.3">
      <c r="B95" s="548"/>
      <c r="C95" s="549"/>
      <c r="D95" s="549"/>
      <c r="E95" s="549"/>
      <c r="F95" s="549"/>
      <c r="G95" s="549"/>
      <c r="H95" s="550"/>
      <c r="J95" s="548"/>
      <c r="K95" s="549"/>
      <c r="L95" s="549"/>
      <c r="M95" s="549"/>
      <c r="N95" s="549"/>
      <c r="O95" s="549"/>
      <c r="P95" s="550"/>
      <c r="Z95" s="563"/>
      <c r="AA95" s="563"/>
      <c r="AB95" s="563"/>
      <c r="AC95" s="563"/>
      <c r="AD95" s="563"/>
      <c r="AE95" s="563"/>
      <c r="AF95" s="563"/>
    </row>
    <row r="96" spans="2:32" x14ac:dyDescent="0.3">
      <c r="B96" s="548"/>
      <c r="C96" s="549"/>
      <c r="D96" s="549"/>
      <c r="E96" s="549"/>
      <c r="F96" s="549"/>
      <c r="G96" s="549"/>
      <c r="H96" s="550"/>
      <c r="J96" s="548"/>
      <c r="K96" s="549"/>
      <c r="L96" s="549"/>
      <c r="M96" s="549"/>
      <c r="N96" s="549"/>
      <c r="O96" s="549"/>
      <c r="P96" s="550"/>
    </row>
    <row r="97" spans="2:16" x14ac:dyDescent="0.3">
      <c r="B97" s="548"/>
      <c r="C97" s="549"/>
      <c r="D97" s="549"/>
      <c r="E97" s="549"/>
      <c r="F97" s="549"/>
      <c r="G97" s="549"/>
      <c r="H97" s="550"/>
      <c r="J97" s="548"/>
      <c r="K97" s="549"/>
      <c r="L97" s="549"/>
      <c r="M97" s="549"/>
      <c r="N97" s="549"/>
      <c r="O97" s="549"/>
      <c r="P97" s="550"/>
    </row>
    <row r="98" spans="2:16" x14ac:dyDescent="0.3">
      <c r="B98" s="548"/>
      <c r="C98" s="549"/>
      <c r="D98" s="549"/>
      <c r="E98" s="549"/>
      <c r="F98" s="549"/>
      <c r="G98" s="549"/>
      <c r="H98" s="550"/>
      <c r="J98" s="548"/>
      <c r="K98" s="549"/>
      <c r="L98" s="549"/>
      <c r="M98" s="549"/>
      <c r="N98" s="549"/>
      <c r="O98" s="549"/>
      <c r="P98" s="550"/>
    </row>
    <row r="99" spans="2:16" x14ac:dyDescent="0.3">
      <c r="B99" s="548"/>
      <c r="C99" s="549"/>
      <c r="D99" s="549"/>
      <c r="E99" s="549"/>
      <c r="F99" s="549"/>
      <c r="G99" s="549"/>
      <c r="H99" s="550"/>
      <c r="J99" s="548"/>
      <c r="K99" s="549"/>
      <c r="L99" s="549"/>
      <c r="M99" s="549"/>
      <c r="N99" s="549"/>
      <c r="O99" s="549"/>
      <c r="P99" s="550"/>
    </row>
    <row r="100" spans="2:16" x14ac:dyDescent="0.3">
      <c r="B100" s="548"/>
      <c r="C100" s="549"/>
      <c r="D100" s="549"/>
      <c r="E100" s="549"/>
      <c r="F100" s="549"/>
      <c r="G100" s="549"/>
      <c r="H100" s="550"/>
      <c r="J100" s="548"/>
      <c r="K100" s="549"/>
      <c r="L100" s="549"/>
      <c r="M100" s="549"/>
      <c r="N100" s="549"/>
      <c r="O100" s="549"/>
      <c r="P100" s="550"/>
    </row>
    <row r="101" spans="2:16" x14ac:dyDescent="0.3">
      <c r="B101" s="548"/>
      <c r="C101" s="549"/>
      <c r="D101" s="549"/>
      <c r="E101" s="549"/>
      <c r="F101" s="549"/>
      <c r="G101" s="549"/>
      <c r="H101" s="550"/>
      <c r="J101" s="548"/>
      <c r="K101" s="549"/>
      <c r="L101" s="549"/>
      <c r="M101" s="549"/>
      <c r="N101" s="549"/>
      <c r="O101" s="549"/>
      <c r="P101" s="550"/>
    </row>
    <row r="102" spans="2:16" x14ac:dyDescent="0.3">
      <c r="B102" s="548"/>
      <c r="C102" s="549"/>
      <c r="D102" s="549"/>
      <c r="E102" s="549"/>
      <c r="F102" s="549"/>
      <c r="G102" s="549"/>
      <c r="H102" s="550"/>
      <c r="J102" s="548"/>
      <c r="K102" s="549"/>
      <c r="L102" s="549"/>
      <c r="M102" s="549"/>
      <c r="N102" s="549"/>
      <c r="O102" s="549"/>
      <c r="P102" s="550"/>
    </row>
    <row r="103" spans="2:16" x14ac:dyDescent="0.3">
      <c r="B103" s="551"/>
      <c r="C103" s="552"/>
      <c r="D103" s="552"/>
      <c r="E103" s="552"/>
      <c r="F103" s="552"/>
      <c r="G103" s="552"/>
      <c r="H103" s="553"/>
      <c r="J103" s="551"/>
      <c r="K103" s="552"/>
      <c r="L103" s="552"/>
      <c r="M103" s="552"/>
      <c r="N103" s="552"/>
      <c r="O103" s="552"/>
      <c r="P103" s="553"/>
    </row>
    <row r="104" spans="2:16" ht="36" customHeight="1" x14ac:dyDescent="0.3">
      <c r="B104" s="372" t="s">
        <v>661</v>
      </c>
      <c r="C104" s="563" t="str">
        <f>VLOOKUP(B104,'[3]Orçamento Sintético'!A:J,4,0)</f>
        <v>VERGA PRÉ-MOLDADA PARA JANELAS COM MAIS DE 1,5 M DE VÃO. AF_03/2016</v>
      </c>
      <c r="D104" s="563"/>
      <c r="E104" s="563"/>
      <c r="F104" s="563"/>
      <c r="G104" s="563"/>
      <c r="H104" s="563"/>
      <c r="J104" s="372" t="s">
        <v>662</v>
      </c>
      <c r="K104" s="563" t="str">
        <f>VLOOKUP(J104,'[3]Orçamento Sintético'!A:J,4,0)</f>
        <v>ALVENARIA DE VEDAÇÃO DE BLOCOS CERÂMICOS FURADOS NA VERTICAL DE 9X19X39 CM (ESPESSURA 9 CM) E ARGAMASSA DE ASSENTAMENTO COM PREPARO EM BETONEIRA. AF_12/2021</v>
      </c>
      <c r="L104" s="563"/>
      <c r="M104" s="563"/>
      <c r="N104" s="563"/>
      <c r="O104" s="563"/>
      <c r="P104" s="563"/>
    </row>
    <row r="105" spans="2:16" ht="15.75" customHeight="1" x14ac:dyDescent="0.3"/>
    <row r="106" spans="2:16" x14ac:dyDescent="0.3">
      <c r="B106" s="545"/>
      <c r="C106" s="546"/>
      <c r="D106" s="546"/>
      <c r="E106" s="546"/>
      <c r="F106" s="546"/>
      <c r="G106" s="546"/>
      <c r="H106" s="547"/>
      <c r="J106" s="545"/>
      <c r="K106" s="546"/>
      <c r="L106" s="546"/>
      <c r="M106" s="546"/>
      <c r="N106" s="546"/>
      <c r="O106" s="546"/>
      <c r="P106" s="547"/>
    </row>
    <row r="107" spans="2:16" x14ac:dyDescent="0.3">
      <c r="B107" s="548"/>
      <c r="C107" s="549"/>
      <c r="D107" s="549"/>
      <c r="E107" s="549"/>
      <c r="F107" s="549"/>
      <c r="G107" s="549"/>
      <c r="H107" s="550"/>
      <c r="J107" s="548"/>
      <c r="K107" s="549"/>
      <c r="L107" s="549"/>
      <c r="M107" s="549"/>
      <c r="N107" s="549"/>
      <c r="O107" s="549"/>
      <c r="P107" s="550"/>
    </row>
    <row r="108" spans="2:16" x14ac:dyDescent="0.3">
      <c r="B108" s="548"/>
      <c r="C108" s="549"/>
      <c r="D108" s="549"/>
      <c r="E108" s="549"/>
      <c r="F108" s="549"/>
      <c r="G108" s="549"/>
      <c r="H108" s="550"/>
      <c r="J108" s="548"/>
      <c r="K108" s="549"/>
      <c r="L108" s="549"/>
      <c r="M108" s="549"/>
      <c r="N108" s="549"/>
      <c r="O108" s="549"/>
      <c r="P108" s="550"/>
    </row>
    <row r="109" spans="2:16" x14ac:dyDescent="0.3">
      <c r="B109" s="548"/>
      <c r="C109" s="549"/>
      <c r="D109" s="549"/>
      <c r="E109" s="549"/>
      <c r="F109" s="549"/>
      <c r="G109" s="549"/>
      <c r="H109" s="550"/>
      <c r="J109" s="548"/>
      <c r="K109" s="549"/>
      <c r="L109" s="549"/>
      <c r="M109" s="549"/>
      <c r="N109" s="549"/>
      <c r="O109" s="549"/>
      <c r="P109" s="550"/>
    </row>
    <row r="110" spans="2:16" x14ac:dyDescent="0.3">
      <c r="B110" s="548"/>
      <c r="C110" s="549"/>
      <c r="D110" s="549"/>
      <c r="E110" s="549"/>
      <c r="F110" s="549"/>
      <c r="G110" s="549"/>
      <c r="H110" s="550"/>
      <c r="J110" s="548"/>
      <c r="K110" s="549"/>
      <c r="L110" s="549"/>
      <c r="M110" s="549"/>
      <c r="N110" s="549"/>
      <c r="O110" s="549"/>
      <c r="P110" s="550"/>
    </row>
    <row r="111" spans="2:16" x14ac:dyDescent="0.3">
      <c r="B111" s="548"/>
      <c r="C111" s="549"/>
      <c r="D111" s="549"/>
      <c r="E111" s="549"/>
      <c r="F111" s="549"/>
      <c r="G111" s="549"/>
      <c r="H111" s="550"/>
      <c r="J111" s="548"/>
      <c r="K111" s="549"/>
      <c r="L111" s="549"/>
      <c r="M111" s="549"/>
      <c r="N111" s="549"/>
      <c r="O111" s="549"/>
      <c r="P111" s="550"/>
    </row>
    <row r="112" spans="2:16" x14ac:dyDescent="0.3">
      <c r="B112" s="548"/>
      <c r="C112" s="549"/>
      <c r="D112" s="549"/>
      <c r="E112" s="549"/>
      <c r="F112" s="549"/>
      <c r="G112" s="549"/>
      <c r="H112" s="550"/>
      <c r="J112" s="548"/>
      <c r="K112" s="549"/>
      <c r="L112" s="549"/>
      <c r="M112" s="549"/>
      <c r="N112" s="549"/>
      <c r="O112" s="549"/>
      <c r="P112" s="550"/>
    </row>
    <row r="113" spans="2:16" x14ac:dyDescent="0.3">
      <c r="B113" s="548"/>
      <c r="C113" s="549"/>
      <c r="D113" s="549"/>
      <c r="E113" s="549"/>
      <c r="F113" s="549"/>
      <c r="G113" s="549"/>
      <c r="H113" s="550"/>
      <c r="J113" s="548"/>
      <c r="K113" s="549"/>
      <c r="L113" s="549"/>
      <c r="M113" s="549"/>
      <c r="N113" s="549"/>
      <c r="O113" s="549"/>
      <c r="P113" s="550"/>
    </row>
    <row r="114" spans="2:16" x14ac:dyDescent="0.3">
      <c r="B114" s="548"/>
      <c r="C114" s="549"/>
      <c r="D114" s="549"/>
      <c r="E114" s="549"/>
      <c r="F114" s="549"/>
      <c r="G114" s="549"/>
      <c r="H114" s="550"/>
      <c r="J114" s="548"/>
      <c r="K114" s="549"/>
      <c r="L114" s="549"/>
      <c r="M114" s="549"/>
      <c r="N114" s="549"/>
      <c r="O114" s="549"/>
      <c r="P114" s="550"/>
    </row>
    <row r="115" spans="2:16" x14ac:dyDescent="0.3">
      <c r="B115" s="548"/>
      <c r="C115" s="549"/>
      <c r="D115" s="549"/>
      <c r="E115" s="549"/>
      <c r="F115" s="549"/>
      <c r="G115" s="549"/>
      <c r="H115" s="550"/>
      <c r="J115" s="548"/>
      <c r="K115" s="549"/>
      <c r="L115" s="549"/>
      <c r="M115" s="549"/>
      <c r="N115" s="549"/>
      <c r="O115" s="549"/>
      <c r="P115" s="550"/>
    </row>
    <row r="116" spans="2:16" x14ac:dyDescent="0.3">
      <c r="B116" s="551"/>
      <c r="C116" s="552"/>
      <c r="D116" s="552"/>
      <c r="E116" s="552"/>
      <c r="F116" s="552"/>
      <c r="G116" s="552"/>
      <c r="H116" s="553"/>
      <c r="J116" s="551"/>
      <c r="K116" s="552"/>
      <c r="L116" s="552"/>
      <c r="M116" s="552"/>
      <c r="N116" s="552"/>
      <c r="O116" s="552"/>
      <c r="P116" s="553"/>
    </row>
    <row r="117" spans="2:16" ht="43.95" customHeight="1" x14ac:dyDescent="0.3">
      <c r="B117" s="372" t="s">
        <v>698</v>
      </c>
      <c r="C117" s="563" t="str">
        <f>VLOOKUP(B117,'[3]Orçamento Sintético'!A:J,4,0)</f>
        <v>CHAPISCO APLICADO EM ALVENARIAS E ESTRUTURAS DE CONCRETO INTERNAS, COM COLHER DE PEDREIRO.  ARGAMASSA TRAÇO 1:3 COM PREPARO MANUAL. AF_10/2022</v>
      </c>
      <c r="D117" s="563"/>
      <c r="E117" s="563"/>
      <c r="F117" s="563"/>
      <c r="G117" s="563"/>
      <c r="H117" s="563"/>
      <c r="J117" s="372" t="s">
        <v>706</v>
      </c>
      <c r="K117" s="563" t="str">
        <f>VLOOKUP(J117,'[3]Orçamento Sintético'!A:J,4,0)</f>
        <v>CONTRAPISO EM ARGAMASSA TRAÇO 1:4 (CIMENTO E AREIA), PREPARO MECÂNICO COM BETONEIRA 400 L, APLICADO EM ÁREAS SECAS SOBRE LAJE, ADERIDO, ACABAMENTO NÃO REFORÇADO, ESPESSURA 3CM. AF_07/2021</v>
      </c>
      <c r="L117" s="563"/>
      <c r="M117" s="563"/>
      <c r="N117" s="563"/>
      <c r="O117" s="563"/>
      <c r="P117" s="563"/>
    </row>
    <row r="118" spans="2:16" ht="4.5" customHeight="1" x14ac:dyDescent="0.3">
      <c r="B118" s="372"/>
      <c r="C118" s="371"/>
      <c r="D118" s="371"/>
      <c r="E118" s="371"/>
      <c r="F118" s="371"/>
      <c r="G118" s="371"/>
      <c r="H118" s="371"/>
      <c r="J118" s="372"/>
      <c r="K118" s="371"/>
      <c r="L118" s="371"/>
      <c r="M118" s="371"/>
      <c r="N118" s="371"/>
      <c r="O118" s="371"/>
      <c r="P118" s="371"/>
    </row>
    <row r="119" spans="2:16" x14ac:dyDescent="0.3">
      <c r="B119" s="545"/>
      <c r="C119" s="546"/>
      <c r="D119" s="546"/>
      <c r="E119" s="546"/>
      <c r="F119" s="546"/>
      <c r="G119" s="546"/>
      <c r="H119" s="547"/>
      <c r="J119" s="545"/>
      <c r="K119" s="546"/>
      <c r="L119" s="546"/>
      <c r="M119" s="546"/>
      <c r="N119" s="546"/>
      <c r="O119" s="546"/>
      <c r="P119" s="547"/>
    </row>
    <row r="120" spans="2:16" x14ac:dyDescent="0.3">
      <c r="B120" s="548"/>
      <c r="C120" s="549"/>
      <c r="D120" s="549"/>
      <c r="E120" s="549"/>
      <c r="F120" s="549"/>
      <c r="G120" s="549"/>
      <c r="H120" s="550"/>
      <c r="J120" s="548"/>
      <c r="K120" s="549"/>
      <c r="L120" s="549"/>
      <c r="M120" s="549"/>
      <c r="N120" s="549"/>
      <c r="O120" s="549"/>
      <c r="P120" s="550"/>
    </row>
    <row r="121" spans="2:16" x14ac:dyDescent="0.3">
      <c r="B121" s="548"/>
      <c r="C121" s="549"/>
      <c r="D121" s="549"/>
      <c r="E121" s="549"/>
      <c r="F121" s="549"/>
      <c r="G121" s="549"/>
      <c r="H121" s="550"/>
      <c r="J121" s="548"/>
      <c r="K121" s="549"/>
      <c r="L121" s="549"/>
      <c r="M121" s="549"/>
      <c r="N121" s="549"/>
      <c r="O121" s="549"/>
      <c r="P121" s="550"/>
    </row>
    <row r="122" spans="2:16" x14ac:dyDescent="0.3">
      <c r="B122" s="548"/>
      <c r="C122" s="549"/>
      <c r="D122" s="549"/>
      <c r="E122" s="549"/>
      <c r="F122" s="549"/>
      <c r="G122" s="549"/>
      <c r="H122" s="550"/>
      <c r="J122" s="548"/>
      <c r="K122" s="549"/>
      <c r="L122" s="549"/>
      <c r="M122" s="549"/>
      <c r="N122" s="549"/>
      <c r="O122" s="549"/>
      <c r="P122" s="550"/>
    </row>
    <row r="123" spans="2:16" x14ac:dyDescent="0.3">
      <c r="B123" s="548"/>
      <c r="C123" s="549"/>
      <c r="D123" s="549"/>
      <c r="E123" s="549"/>
      <c r="F123" s="549"/>
      <c r="G123" s="549"/>
      <c r="H123" s="550"/>
      <c r="J123" s="548"/>
      <c r="K123" s="549"/>
      <c r="L123" s="549"/>
      <c r="M123" s="549"/>
      <c r="N123" s="549"/>
      <c r="O123" s="549"/>
      <c r="P123" s="550"/>
    </row>
    <row r="124" spans="2:16" x14ac:dyDescent="0.3">
      <c r="B124" s="548"/>
      <c r="C124" s="549"/>
      <c r="D124" s="549"/>
      <c r="E124" s="549"/>
      <c r="F124" s="549"/>
      <c r="G124" s="549"/>
      <c r="H124" s="550"/>
      <c r="J124" s="548"/>
      <c r="K124" s="549"/>
      <c r="L124" s="549"/>
      <c r="M124" s="549"/>
      <c r="N124" s="549"/>
      <c r="O124" s="549"/>
      <c r="P124" s="550"/>
    </row>
    <row r="125" spans="2:16" x14ac:dyDescent="0.3">
      <c r="B125" s="548"/>
      <c r="C125" s="549"/>
      <c r="D125" s="549"/>
      <c r="E125" s="549"/>
      <c r="F125" s="549"/>
      <c r="G125" s="549"/>
      <c r="H125" s="550"/>
      <c r="J125" s="548"/>
      <c r="K125" s="549"/>
      <c r="L125" s="549"/>
      <c r="M125" s="549"/>
      <c r="N125" s="549"/>
      <c r="O125" s="549"/>
      <c r="P125" s="550"/>
    </row>
    <row r="126" spans="2:16" x14ac:dyDescent="0.3">
      <c r="B126" s="548"/>
      <c r="C126" s="549"/>
      <c r="D126" s="549"/>
      <c r="E126" s="549"/>
      <c r="F126" s="549"/>
      <c r="G126" s="549"/>
      <c r="H126" s="550"/>
      <c r="J126" s="548"/>
      <c r="K126" s="549"/>
      <c r="L126" s="549"/>
      <c r="M126" s="549"/>
      <c r="N126" s="549"/>
      <c r="O126" s="549"/>
      <c r="P126" s="550"/>
    </row>
    <row r="127" spans="2:16" x14ac:dyDescent="0.3">
      <c r="B127" s="548"/>
      <c r="C127" s="549"/>
      <c r="D127" s="549"/>
      <c r="E127" s="549"/>
      <c r="F127" s="549"/>
      <c r="G127" s="549"/>
      <c r="H127" s="550"/>
      <c r="J127" s="548"/>
      <c r="K127" s="549"/>
      <c r="L127" s="549"/>
      <c r="M127" s="549"/>
      <c r="N127" s="549"/>
      <c r="O127" s="549"/>
      <c r="P127" s="550"/>
    </row>
    <row r="128" spans="2:16" x14ac:dyDescent="0.3">
      <c r="B128" s="548"/>
      <c r="C128" s="549"/>
      <c r="D128" s="549"/>
      <c r="E128" s="549"/>
      <c r="F128" s="549"/>
      <c r="G128" s="549"/>
      <c r="H128" s="550"/>
      <c r="J128" s="548"/>
      <c r="K128" s="549"/>
      <c r="L128" s="549"/>
      <c r="M128" s="549"/>
      <c r="N128" s="549"/>
      <c r="O128" s="549"/>
      <c r="P128" s="550"/>
    </row>
    <row r="129" spans="2:16" x14ac:dyDescent="0.3">
      <c r="B129" s="551"/>
      <c r="C129" s="552"/>
      <c r="D129" s="552"/>
      <c r="E129" s="552"/>
      <c r="F129" s="552"/>
      <c r="G129" s="552"/>
      <c r="H129" s="553"/>
      <c r="J129" s="551"/>
      <c r="K129" s="552"/>
      <c r="L129" s="552"/>
      <c r="M129" s="552"/>
      <c r="N129" s="552"/>
      <c r="O129" s="552"/>
      <c r="P129" s="553"/>
    </row>
    <row r="130" spans="2:16" ht="49.95" customHeight="1" x14ac:dyDescent="0.3">
      <c r="B130" s="372" t="s">
        <v>751</v>
      </c>
      <c r="C130" s="563" t="str">
        <f>VLOOKUP(B130,'[3]Orçamento Sintético'!A:J,4,0)</f>
        <v>TUBO PVC, SERIE NORMAL, ESGOTO PREDIAL, DN 40 MM, FORNECIDO E INSTALADO EM RAMAL DE DESCARGA OU RAMAL DE ESGOTO SANITÁRIO. AF_08/2022</v>
      </c>
      <c r="D130" s="563"/>
      <c r="E130" s="563"/>
      <c r="F130" s="563"/>
      <c r="G130" s="563"/>
      <c r="H130" s="563"/>
      <c r="J130" s="372" t="s">
        <v>752</v>
      </c>
      <c r="K130" s="563" t="str">
        <f>VLOOKUP(J130,'[3]Orçamento Sintético'!A:J,4,0)</f>
        <v>TUBO PVC, SERIE NORMAL, ESGOTO PREDIAL, DN 50 MM, FORNECIDO E INSTALADO EM RAMAL DE DESCARGA OU RAMAL DE ESGOTO SANITÁRIO. AF_08/2022</v>
      </c>
      <c r="L130" s="563"/>
      <c r="M130" s="563"/>
      <c r="N130" s="563"/>
      <c r="O130" s="563"/>
      <c r="P130" s="563"/>
    </row>
    <row r="131" spans="2:16" x14ac:dyDescent="0.3">
      <c r="B131" s="545"/>
      <c r="C131" s="546"/>
      <c r="D131" s="546"/>
      <c r="E131" s="546"/>
      <c r="F131" s="546"/>
      <c r="G131" s="546"/>
      <c r="H131" s="547"/>
      <c r="J131" s="545"/>
      <c r="K131" s="546"/>
      <c r="L131" s="546"/>
      <c r="M131" s="546"/>
      <c r="N131" s="546"/>
      <c r="O131" s="546"/>
      <c r="P131" s="547"/>
    </row>
    <row r="132" spans="2:16" x14ac:dyDescent="0.3">
      <c r="B132" s="548"/>
      <c r="C132" s="549"/>
      <c r="D132" s="549"/>
      <c r="E132" s="549"/>
      <c r="F132" s="549"/>
      <c r="G132" s="549"/>
      <c r="H132" s="550"/>
      <c r="J132" s="548"/>
      <c r="K132" s="549"/>
      <c r="L132" s="549"/>
      <c r="M132" s="549"/>
      <c r="N132" s="549"/>
      <c r="O132" s="549"/>
      <c r="P132" s="550"/>
    </row>
    <row r="133" spans="2:16" x14ac:dyDescent="0.3">
      <c r="B133" s="548"/>
      <c r="C133" s="549"/>
      <c r="D133" s="549"/>
      <c r="E133" s="549"/>
      <c r="F133" s="549"/>
      <c r="G133" s="549"/>
      <c r="H133" s="550"/>
      <c r="J133" s="548"/>
      <c r="K133" s="549"/>
      <c r="L133" s="549"/>
      <c r="M133" s="549"/>
      <c r="N133" s="549"/>
      <c r="O133" s="549"/>
      <c r="P133" s="550"/>
    </row>
    <row r="134" spans="2:16" x14ac:dyDescent="0.3">
      <c r="B134" s="548"/>
      <c r="C134" s="549"/>
      <c r="D134" s="549"/>
      <c r="E134" s="549"/>
      <c r="F134" s="549"/>
      <c r="G134" s="549"/>
      <c r="H134" s="550"/>
      <c r="J134" s="548"/>
      <c r="K134" s="549"/>
      <c r="L134" s="549"/>
      <c r="M134" s="549"/>
      <c r="N134" s="549"/>
      <c r="O134" s="549"/>
      <c r="P134" s="550"/>
    </row>
    <row r="135" spans="2:16" x14ac:dyDescent="0.3">
      <c r="B135" s="548"/>
      <c r="C135" s="549"/>
      <c r="D135" s="549"/>
      <c r="E135" s="549"/>
      <c r="F135" s="549"/>
      <c r="G135" s="549"/>
      <c r="H135" s="550"/>
      <c r="J135" s="548"/>
      <c r="K135" s="549"/>
      <c r="L135" s="549"/>
      <c r="M135" s="549"/>
      <c r="N135" s="549"/>
      <c r="O135" s="549"/>
      <c r="P135" s="550"/>
    </row>
    <row r="136" spans="2:16" x14ac:dyDescent="0.3">
      <c r="B136" s="548"/>
      <c r="C136" s="549"/>
      <c r="D136" s="549"/>
      <c r="E136" s="549"/>
      <c r="F136" s="549"/>
      <c r="G136" s="549"/>
      <c r="H136" s="550"/>
      <c r="J136" s="548"/>
      <c r="K136" s="549"/>
      <c r="L136" s="549"/>
      <c r="M136" s="549"/>
      <c r="N136" s="549"/>
      <c r="O136" s="549"/>
      <c r="P136" s="550"/>
    </row>
    <row r="137" spans="2:16" x14ac:dyDescent="0.3">
      <c r="B137" s="548"/>
      <c r="C137" s="549"/>
      <c r="D137" s="549"/>
      <c r="E137" s="549"/>
      <c r="F137" s="549"/>
      <c r="G137" s="549"/>
      <c r="H137" s="550"/>
      <c r="J137" s="548"/>
      <c r="K137" s="549"/>
      <c r="L137" s="549"/>
      <c r="M137" s="549"/>
      <c r="N137" s="549"/>
      <c r="O137" s="549"/>
      <c r="P137" s="550"/>
    </row>
    <row r="138" spans="2:16" x14ac:dyDescent="0.3">
      <c r="B138" s="548"/>
      <c r="C138" s="549"/>
      <c r="D138" s="549"/>
      <c r="E138" s="549"/>
      <c r="F138" s="549"/>
      <c r="G138" s="549"/>
      <c r="H138" s="550"/>
      <c r="J138" s="548"/>
      <c r="K138" s="549"/>
      <c r="L138" s="549"/>
      <c r="M138" s="549"/>
      <c r="N138" s="549"/>
      <c r="O138" s="549"/>
      <c r="P138" s="550"/>
    </row>
    <row r="139" spans="2:16" x14ac:dyDescent="0.3">
      <c r="B139" s="548"/>
      <c r="C139" s="549"/>
      <c r="D139" s="549"/>
      <c r="E139" s="549"/>
      <c r="F139" s="549"/>
      <c r="G139" s="549"/>
      <c r="H139" s="550"/>
      <c r="J139" s="548"/>
      <c r="K139" s="549"/>
      <c r="L139" s="549"/>
      <c r="M139" s="549"/>
      <c r="N139" s="549"/>
      <c r="O139" s="549"/>
      <c r="P139" s="550"/>
    </row>
    <row r="140" spans="2:16" x14ac:dyDescent="0.3">
      <c r="B140" s="548"/>
      <c r="C140" s="549"/>
      <c r="D140" s="549"/>
      <c r="E140" s="549"/>
      <c r="F140" s="549"/>
      <c r="G140" s="549"/>
      <c r="H140" s="550"/>
      <c r="J140" s="548"/>
      <c r="K140" s="549"/>
      <c r="L140" s="549"/>
      <c r="M140" s="549"/>
      <c r="N140" s="549"/>
      <c r="O140" s="549"/>
      <c r="P140" s="550"/>
    </row>
    <row r="141" spans="2:16" x14ac:dyDescent="0.3">
      <c r="B141" s="551"/>
      <c r="C141" s="552"/>
      <c r="D141" s="552"/>
      <c r="E141" s="552"/>
      <c r="F141" s="552"/>
      <c r="G141" s="552"/>
      <c r="H141" s="553"/>
      <c r="J141" s="551"/>
      <c r="K141" s="552"/>
      <c r="L141" s="552"/>
      <c r="M141" s="552"/>
      <c r="N141" s="552"/>
      <c r="O141" s="552"/>
      <c r="P141" s="553"/>
    </row>
    <row r="142" spans="2:16" ht="49.95" customHeight="1" x14ac:dyDescent="0.3">
      <c r="B142" s="372" t="s">
        <v>753</v>
      </c>
      <c r="C142" s="563" t="str">
        <f>VLOOKUP(B142,'[3]Orçamento Sintético'!A:J,4,0)</f>
        <v>TUBO PVC, SERIE NORMAL, ESGOTO PREDIAL, DN 100 MM, FORNECIDO E INSTALADO EM SUBCOLETOR AÉREO DE ESGOTO SANITÁRIO. AF_08/2022</v>
      </c>
      <c r="D142" s="563"/>
      <c r="E142" s="563"/>
      <c r="F142" s="563"/>
      <c r="G142" s="563"/>
      <c r="H142" s="563"/>
      <c r="J142" s="372" t="s">
        <v>754</v>
      </c>
      <c r="K142" s="563" t="str">
        <f>VLOOKUP(J142,'[3]Orçamento Sintético'!A:J,4,0)</f>
        <v>TUBO PVC, SERIE NORMAL, ESGOTO PREDIAL, DN 150 MM, FORNECIDO E INSTALADO EM SUBCOLETOR AÉREO DE ESGOTO SANITÁRIO. AF_08/2022</v>
      </c>
      <c r="L142" s="563"/>
      <c r="M142" s="563"/>
      <c r="N142" s="563"/>
      <c r="O142" s="563"/>
      <c r="P142" s="563"/>
    </row>
    <row r="143" spans="2:16" x14ac:dyDescent="0.3">
      <c r="B143" s="545"/>
      <c r="C143" s="546"/>
      <c r="D143" s="546"/>
      <c r="E143" s="546"/>
      <c r="F143" s="546"/>
      <c r="G143" s="546"/>
      <c r="H143" s="547"/>
      <c r="J143" s="545"/>
      <c r="K143" s="546"/>
      <c r="L143" s="546"/>
      <c r="M143" s="546"/>
      <c r="N143" s="546"/>
      <c r="O143" s="546"/>
      <c r="P143" s="547"/>
    </row>
    <row r="144" spans="2:16" x14ac:dyDescent="0.3">
      <c r="B144" s="548"/>
      <c r="C144" s="549"/>
      <c r="D144" s="549"/>
      <c r="E144" s="549"/>
      <c r="F144" s="549"/>
      <c r="G144" s="549"/>
      <c r="H144" s="550"/>
      <c r="J144" s="548"/>
      <c r="K144" s="549"/>
      <c r="L144" s="549"/>
      <c r="M144" s="549"/>
      <c r="N144" s="549"/>
      <c r="O144" s="549"/>
      <c r="P144" s="550"/>
    </row>
    <row r="145" spans="2:16" x14ac:dyDescent="0.3">
      <c r="B145" s="548"/>
      <c r="C145" s="549"/>
      <c r="D145" s="549"/>
      <c r="E145" s="549"/>
      <c r="F145" s="549"/>
      <c r="G145" s="549"/>
      <c r="H145" s="550"/>
      <c r="J145" s="548"/>
      <c r="K145" s="549"/>
      <c r="L145" s="549"/>
      <c r="M145" s="549"/>
      <c r="N145" s="549"/>
      <c r="O145" s="549"/>
      <c r="P145" s="550"/>
    </row>
    <row r="146" spans="2:16" x14ac:dyDescent="0.3">
      <c r="B146" s="548"/>
      <c r="C146" s="549"/>
      <c r="D146" s="549"/>
      <c r="E146" s="549"/>
      <c r="F146" s="549"/>
      <c r="G146" s="549"/>
      <c r="H146" s="550"/>
      <c r="J146" s="548"/>
      <c r="K146" s="549"/>
      <c r="L146" s="549"/>
      <c r="M146" s="549"/>
      <c r="N146" s="549"/>
      <c r="O146" s="549"/>
      <c r="P146" s="550"/>
    </row>
    <row r="147" spans="2:16" x14ac:dyDescent="0.3">
      <c r="B147" s="548"/>
      <c r="C147" s="549"/>
      <c r="D147" s="549"/>
      <c r="E147" s="549"/>
      <c r="F147" s="549"/>
      <c r="G147" s="549"/>
      <c r="H147" s="550"/>
      <c r="J147" s="548"/>
      <c r="K147" s="549"/>
      <c r="L147" s="549"/>
      <c r="M147" s="549"/>
      <c r="N147" s="549"/>
      <c r="O147" s="549"/>
      <c r="P147" s="550"/>
    </row>
    <row r="148" spans="2:16" x14ac:dyDescent="0.3">
      <c r="B148" s="548"/>
      <c r="C148" s="549"/>
      <c r="D148" s="549"/>
      <c r="E148" s="549"/>
      <c r="F148" s="549"/>
      <c r="G148" s="549"/>
      <c r="H148" s="550"/>
      <c r="J148" s="548"/>
      <c r="K148" s="549"/>
      <c r="L148" s="549"/>
      <c r="M148" s="549"/>
      <c r="N148" s="549"/>
      <c r="O148" s="549"/>
      <c r="P148" s="550"/>
    </row>
    <row r="149" spans="2:16" x14ac:dyDescent="0.3">
      <c r="B149" s="548"/>
      <c r="C149" s="549"/>
      <c r="D149" s="549"/>
      <c r="E149" s="549"/>
      <c r="F149" s="549"/>
      <c r="G149" s="549"/>
      <c r="H149" s="550"/>
      <c r="J149" s="548"/>
      <c r="K149" s="549"/>
      <c r="L149" s="549"/>
      <c r="M149" s="549"/>
      <c r="N149" s="549"/>
      <c r="O149" s="549"/>
      <c r="P149" s="550"/>
    </row>
    <row r="150" spans="2:16" x14ac:dyDescent="0.3">
      <c r="B150" s="548"/>
      <c r="C150" s="549"/>
      <c r="D150" s="549"/>
      <c r="E150" s="549"/>
      <c r="F150" s="549"/>
      <c r="G150" s="549"/>
      <c r="H150" s="550"/>
      <c r="J150" s="548"/>
      <c r="K150" s="549"/>
      <c r="L150" s="549"/>
      <c r="M150" s="549"/>
      <c r="N150" s="549"/>
      <c r="O150" s="549"/>
      <c r="P150" s="550"/>
    </row>
    <row r="151" spans="2:16" x14ac:dyDescent="0.3">
      <c r="B151" s="548"/>
      <c r="C151" s="549"/>
      <c r="D151" s="549"/>
      <c r="E151" s="549"/>
      <c r="F151" s="549"/>
      <c r="G151" s="549"/>
      <c r="H151" s="550"/>
      <c r="J151" s="548"/>
      <c r="K151" s="549"/>
      <c r="L151" s="549"/>
      <c r="M151" s="549"/>
      <c r="N151" s="549"/>
      <c r="O151" s="549"/>
      <c r="P151" s="550"/>
    </row>
    <row r="152" spans="2:16" x14ac:dyDescent="0.3">
      <c r="B152" s="548"/>
      <c r="C152" s="549"/>
      <c r="D152" s="549"/>
      <c r="E152" s="549"/>
      <c r="F152" s="549"/>
      <c r="G152" s="549"/>
      <c r="H152" s="550"/>
      <c r="J152" s="548"/>
      <c r="K152" s="549"/>
      <c r="L152" s="549"/>
      <c r="M152" s="549"/>
      <c r="N152" s="549"/>
      <c r="O152" s="549"/>
      <c r="P152" s="550"/>
    </row>
    <row r="153" spans="2:16" x14ac:dyDescent="0.3">
      <c r="B153" s="551"/>
      <c r="C153" s="552"/>
      <c r="D153" s="552"/>
      <c r="E153" s="552"/>
      <c r="F153" s="552"/>
      <c r="G153" s="552"/>
      <c r="H153" s="553"/>
      <c r="J153" s="551"/>
      <c r="K153" s="552"/>
      <c r="L153" s="552"/>
      <c r="M153" s="552"/>
      <c r="N153" s="552"/>
      <c r="O153" s="552"/>
      <c r="P153" s="553"/>
    </row>
    <row r="154" spans="2:16" ht="49.95" customHeight="1" x14ac:dyDescent="0.3">
      <c r="B154" s="372" t="s">
        <v>755</v>
      </c>
      <c r="C154" s="563" t="str">
        <f>VLOOKUP(B154,'[3]Orçamento Sintético'!A:J,4,0)</f>
        <v>JOELHO 45 GRAUS, PVC, SERIE NORMAL, ESGOTO PREDIAL, DN 40 MM, JUNTA SOLDÁVEL, FORNECIDO E INSTALADO EM RAMAL DE DESCARGA OU RAMAL DE ESGOTO SANITÁRIO. AF_08/2022</v>
      </c>
      <c r="D154" s="563"/>
      <c r="E154" s="563"/>
      <c r="F154" s="563"/>
      <c r="G154" s="563"/>
      <c r="H154" s="563"/>
      <c r="J154" s="372" t="s">
        <v>756</v>
      </c>
      <c r="K154" s="563" t="str">
        <f>VLOOKUP(J154,'[3]Orçamento Sintético'!A:J,4,0)</f>
        <v>JOELHO 90 GRAUS, PVC, SERIE NORMAL, ESGOTO PREDIAL, DN 40 MM, JUNTA SOLDÁVEL, FORNECIDO E INSTALADO EM RAMAL DE DESCARGA OU RAMAL DE ESGOTO SANITÁRIO. AF_08/2022</v>
      </c>
      <c r="L154" s="563"/>
      <c r="M154" s="563"/>
      <c r="N154" s="563"/>
      <c r="O154" s="563"/>
      <c r="P154" s="563"/>
    </row>
    <row r="155" spans="2:16" x14ac:dyDescent="0.3">
      <c r="B155" s="545"/>
      <c r="C155" s="546"/>
      <c r="D155" s="546"/>
      <c r="E155" s="546"/>
      <c r="F155" s="546"/>
      <c r="G155" s="546"/>
      <c r="H155" s="547"/>
      <c r="J155" s="545"/>
      <c r="K155" s="546"/>
      <c r="L155" s="546"/>
      <c r="M155" s="546"/>
      <c r="N155" s="546"/>
      <c r="O155" s="546"/>
      <c r="P155" s="547"/>
    </row>
    <row r="156" spans="2:16" x14ac:dyDescent="0.3">
      <c r="B156" s="548"/>
      <c r="C156" s="549"/>
      <c r="D156" s="549"/>
      <c r="E156" s="549"/>
      <c r="F156" s="549"/>
      <c r="G156" s="549"/>
      <c r="H156" s="550"/>
      <c r="J156" s="548"/>
      <c r="K156" s="549"/>
      <c r="L156" s="549"/>
      <c r="M156" s="549"/>
      <c r="N156" s="549"/>
      <c r="O156" s="549"/>
      <c r="P156" s="550"/>
    </row>
    <row r="157" spans="2:16" x14ac:dyDescent="0.3">
      <c r="B157" s="548"/>
      <c r="C157" s="549"/>
      <c r="D157" s="549"/>
      <c r="E157" s="549"/>
      <c r="F157" s="549"/>
      <c r="G157" s="549"/>
      <c r="H157" s="550"/>
      <c r="J157" s="548"/>
      <c r="K157" s="549"/>
      <c r="L157" s="549"/>
      <c r="M157" s="549"/>
      <c r="N157" s="549"/>
      <c r="O157" s="549"/>
      <c r="P157" s="550"/>
    </row>
    <row r="158" spans="2:16" x14ac:dyDescent="0.3">
      <c r="B158" s="548"/>
      <c r="C158" s="549"/>
      <c r="D158" s="549"/>
      <c r="E158" s="549"/>
      <c r="F158" s="549"/>
      <c r="G158" s="549"/>
      <c r="H158" s="550"/>
      <c r="J158" s="548"/>
      <c r="K158" s="549"/>
      <c r="L158" s="549"/>
      <c r="M158" s="549"/>
      <c r="N158" s="549"/>
      <c r="O158" s="549"/>
      <c r="P158" s="550"/>
    </row>
    <row r="159" spans="2:16" x14ac:dyDescent="0.3">
      <c r="B159" s="548"/>
      <c r="C159" s="549"/>
      <c r="D159" s="549"/>
      <c r="E159" s="549"/>
      <c r="F159" s="549"/>
      <c r="G159" s="549"/>
      <c r="H159" s="550"/>
      <c r="J159" s="548"/>
      <c r="K159" s="549"/>
      <c r="L159" s="549"/>
      <c r="M159" s="549"/>
      <c r="N159" s="549"/>
      <c r="O159" s="549"/>
      <c r="P159" s="550"/>
    </row>
    <row r="160" spans="2:16" x14ac:dyDescent="0.3">
      <c r="B160" s="548"/>
      <c r="C160" s="549"/>
      <c r="D160" s="549"/>
      <c r="E160" s="549"/>
      <c r="F160" s="549"/>
      <c r="G160" s="549"/>
      <c r="H160" s="550"/>
      <c r="J160" s="548"/>
      <c r="K160" s="549"/>
      <c r="L160" s="549"/>
      <c r="M160" s="549"/>
      <c r="N160" s="549"/>
      <c r="O160" s="549"/>
      <c r="P160" s="550"/>
    </row>
    <row r="161" spans="2:16" x14ac:dyDescent="0.3">
      <c r="B161" s="548"/>
      <c r="C161" s="549"/>
      <c r="D161" s="549"/>
      <c r="E161" s="549"/>
      <c r="F161" s="549"/>
      <c r="G161" s="549"/>
      <c r="H161" s="550"/>
      <c r="J161" s="548"/>
      <c r="K161" s="549"/>
      <c r="L161" s="549"/>
      <c r="M161" s="549"/>
      <c r="N161" s="549"/>
      <c r="O161" s="549"/>
      <c r="P161" s="550"/>
    </row>
    <row r="162" spans="2:16" x14ac:dyDescent="0.3">
      <c r="B162" s="548"/>
      <c r="C162" s="549"/>
      <c r="D162" s="549"/>
      <c r="E162" s="549"/>
      <c r="F162" s="549"/>
      <c r="G162" s="549"/>
      <c r="H162" s="550"/>
      <c r="J162" s="548"/>
      <c r="K162" s="549"/>
      <c r="L162" s="549"/>
      <c r="M162" s="549"/>
      <c r="N162" s="549"/>
      <c r="O162" s="549"/>
      <c r="P162" s="550"/>
    </row>
    <row r="163" spans="2:16" x14ac:dyDescent="0.3">
      <c r="B163" s="548"/>
      <c r="C163" s="549"/>
      <c r="D163" s="549"/>
      <c r="E163" s="549"/>
      <c r="F163" s="549"/>
      <c r="G163" s="549"/>
      <c r="H163" s="550"/>
      <c r="J163" s="548"/>
      <c r="K163" s="549"/>
      <c r="L163" s="549"/>
      <c r="M163" s="549"/>
      <c r="N163" s="549"/>
      <c r="O163" s="549"/>
      <c r="P163" s="550"/>
    </row>
    <row r="164" spans="2:16" x14ac:dyDescent="0.3">
      <c r="B164" s="548"/>
      <c r="C164" s="549"/>
      <c r="D164" s="549"/>
      <c r="E164" s="549"/>
      <c r="F164" s="549"/>
      <c r="G164" s="549"/>
      <c r="H164" s="550"/>
      <c r="J164" s="548"/>
      <c r="K164" s="549"/>
      <c r="L164" s="549"/>
      <c r="M164" s="549"/>
      <c r="N164" s="549"/>
      <c r="O164" s="549"/>
      <c r="P164" s="550"/>
    </row>
    <row r="165" spans="2:16" x14ac:dyDescent="0.3">
      <c r="B165" s="551"/>
      <c r="C165" s="552"/>
      <c r="D165" s="552"/>
      <c r="E165" s="552"/>
      <c r="F165" s="552"/>
      <c r="G165" s="552"/>
      <c r="H165" s="553"/>
      <c r="J165" s="551"/>
      <c r="K165" s="552"/>
      <c r="L165" s="552"/>
      <c r="M165" s="552"/>
      <c r="N165" s="552"/>
      <c r="O165" s="552"/>
      <c r="P165" s="553"/>
    </row>
    <row r="166" spans="2:16" ht="49.95" customHeight="1" thickBot="1" x14ac:dyDescent="0.35">
      <c r="B166" s="372" t="s">
        <v>757</v>
      </c>
      <c r="C166" s="563" t="str">
        <f>VLOOKUP(B166,'[3]Orçamento Sintético'!A:J,4,0)</f>
        <v>JOELHO 90 GRAUS, PVC, SERIE NORMAL, ESGOTO PREDIAL, DN 100 MM, JUNTA ELÁSTICA, FORNECIDO E INSTALADO EM PRUMADA DE ESGOTO SANITÁRIO OU VENTILAÇÃO. AF_08/2022</v>
      </c>
      <c r="D166" s="563"/>
      <c r="E166" s="563"/>
      <c r="F166" s="563"/>
      <c r="G166" s="563"/>
      <c r="H166" s="563"/>
      <c r="J166" s="372"/>
      <c r="K166" s="563" t="e">
        <f>VLOOKUP(J166,'[3]Orçamento Sintético'!A:J,4,0)</f>
        <v>#N/A</v>
      </c>
      <c r="L166" s="563"/>
      <c r="M166" s="563"/>
      <c r="N166" s="563"/>
      <c r="O166" s="563"/>
      <c r="P166" s="563"/>
    </row>
    <row r="167" spans="2:16" ht="15" hidden="1" thickBot="1" x14ac:dyDescent="0.35">
      <c r="B167" s="545"/>
      <c r="C167" s="546"/>
      <c r="D167" s="546"/>
      <c r="E167" s="546"/>
      <c r="F167" s="546"/>
      <c r="G167" s="546"/>
      <c r="H167" s="547"/>
      <c r="J167" s="545"/>
      <c r="K167" s="546"/>
      <c r="L167" s="546"/>
      <c r="M167" s="546"/>
      <c r="N167" s="546"/>
      <c r="O167" s="546"/>
      <c r="P167" s="547"/>
    </row>
    <row r="168" spans="2:16" ht="15" hidden="1" thickBot="1" x14ac:dyDescent="0.35">
      <c r="B168" s="548"/>
      <c r="C168" s="549"/>
      <c r="D168" s="549"/>
      <c r="E168" s="549"/>
      <c r="F168" s="549"/>
      <c r="G168" s="549"/>
      <c r="H168" s="550"/>
      <c r="J168" s="548"/>
      <c r="K168" s="549"/>
      <c r="L168" s="549"/>
      <c r="M168" s="549"/>
      <c r="N168" s="549"/>
      <c r="O168" s="549"/>
      <c r="P168" s="550"/>
    </row>
    <row r="169" spans="2:16" ht="15" hidden="1" thickBot="1" x14ac:dyDescent="0.35">
      <c r="B169" s="548"/>
      <c r="C169" s="549"/>
      <c r="D169" s="549"/>
      <c r="E169" s="549"/>
      <c r="F169" s="549"/>
      <c r="G169" s="549"/>
      <c r="H169" s="550"/>
      <c r="J169" s="548"/>
      <c r="K169" s="549"/>
      <c r="L169" s="549"/>
      <c r="M169" s="549"/>
      <c r="N169" s="549"/>
      <c r="O169" s="549"/>
      <c r="P169" s="550"/>
    </row>
    <row r="170" spans="2:16" ht="15" hidden="1" thickBot="1" x14ac:dyDescent="0.35">
      <c r="B170" s="548"/>
      <c r="C170" s="549"/>
      <c r="D170" s="549"/>
      <c r="E170" s="549"/>
      <c r="F170" s="549"/>
      <c r="G170" s="549"/>
      <c r="H170" s="550"/>
      <c r="J170" s="548"/>
      <c r="K170" s="549"/>
      <c r="L170" s="549"/>
      <c r="M170" s="549"/>
      <c r="N170" s="549"/>
      <c r="O170" s="549"/>
      <c r="P170" s="550"/>
    </row>
    <row r="171" spans="2:16" ht="15" hidden="1" thickBot="1" x14ac:dyDescent="0.35">
      <c r="B171" s="548"/>
      <c r="C171" s="549"/>
      <c r="D171" s="549"/>
      <c r="E171" s="549"/>
      <c r="F171" s="549"/>
      <c r="G171" s="549"/>
      <c r="H171" s="550"/>
      <c r="J171" s="548"/>
      <c r="K171" s="549"/>
      <c r="L171" s="549"/>
      <c r="M171" s="549"/>
      <c r="N171" s="549"/>
      <c r="O171" s="549"/>
      <c r="P171" s="550"/>
    </row>
    <row r="172" spans="2:16" ht="15" hidden="1" thickBot="1" x14ac:dyDescent="0.35">
      <c r="B172" s="548"/>
      <c r="C172" s="549"/>
      <c r="D172" s="549"/>
      <c r="E172" s="549"/>
      <c r="F172" s="549"/>
      <c r="G172" s="549"/>
      <c r="H172" s="550"/>
      <c r="J172" s="548"/>
      <c r="K172" s="549"/>
      <c r="L172" s="549"/>
      <c r="M172" s="549"/>
      <c r="N172" s="549"/>
      <c r="O172" s="549"/>
      <c r="P172" s="550"/>
    </row>
    <row r="173" spans="2:16" ht="15" hidden="1" thickBot="1" x14ac:dyDescent="0.35">
      <c r="B173" s="548"/>
      <c r="C173" s="549"/>
      <c r="D173" s="549"/>
      <c r="E173" s="549"/>
      <c r="F173" s="549"/>
      <c r="G173" s="549"/>
      <c r="H173" s="550"/>
      <c r="J173" s="548"/>
      <c r="K173" s="549"/>
      <c r="L173" s="549"/>
      <c r="M173" s="549"/>
      <c r="N173" s="549"/>
      <c r="O173" s="549"/>
      <c r="P173" s="550"/>
    </row>
    <row r="174" spans="2:16" ht="15" hidden="1" thickBot="1" x14ac:dyDescent="0.35">
      <c r="B174" s="548"/>
      <c r="C174" s="549"/>
      <c r="D174" s="549"/>
      <c r="E174" s="549"/>
      <c r="F174" s="549"/>
      <c r="G174" s="549"/>
      <c r="H174" s="550"/>
      <c r="J174" s="548"/>
      <c r="K174" s="549"/>
      <c r="L174" s="549"/>
      <c r="M174" s="549"/>
      <c r="N174" s="549"/>
      <c r="O174" s="549"/>
      <c r="P174" s="550"/>
    </row>
    <row r="175" spans="2:16" ht="15" hidden="1" thickBot="1" x14ac:dyDescent="0.35">
      <c r="B175" s="548"/>
      <c r="C175" s="549"/>
      <c r="D175" s="549"/>
      <c r="E175" s="549"/>
      <c r="F175" s="549"/>
      <c r="G175" s="549"/>
      <c r="H175" s="550"/>
      <c r="J175" s="548"/>
      <c r="K175" s="549"/>
      <c r="L175" s="549"/>
      <c r="M175" s="549"/>
      <c r="N175" s="549"/>
      <c r="O175" s="549"/>
      <c r="P175" s="550"/>
    </row>
    <row r="176" spans="2:16" ht="15" hidden="1" thickBot="1" x14ac:dyDescent="0.35">
      <c r="B176" s="548"/>
      <c r="C176" s="549"/>
      <c r="D176" s="549"/>
      <c r="E176" s="549"/>
      <c r="F176" s="549"/>
      <c r="G176" s="549"/>
      <c r="H176" s="550"/>
      <c r="J176" s="548"/>
      <c r="K176" s="549"/>
      <c r="L176" s="549"/>
      <c r="M176" s="549"/>
      <c r="N176" s="549"/>
      <c r="O176" s="549"/>
      <c r="P176" s="550"/>
    </row>
    <row r="177" spans="2:16" ht="15" hidden="1" thickBot="1" x14ac:dyDescent="0.35">
      <c r="B177" s="551"/>
      <c r="C177" s="552"/>
      <c r="D177" s="552"/>
      <c r="E177" s="552"/>
      <c r="F177" s="552"/>
      <c r="G177" s="552"/>
      <c r="H177" s="553"/>
      <c r="J177" s="551"/>
      <c r="K177" s="552"/>
      <c r="L177" s="552"/>
      <c r="M177" s="552"/>
      <c r="N177" s="552"/>
      <c r="O177" s="552"/>
      <c r="P177" s="553"/>
    </row>
    <row r="178" spans="2:16" ht="49.95" hidden="1" customHeight="1" thickBot="1" x14ac:dyDescent="0.35">
      <c r="B178" s="372"/>
      <c r="C178" s="563" t="e">
        <f>VLOOKUP(B178,'[3]Orçamento Sintético'!A:J,4,0)</f>
        <v>#N/A</v>
      </c>
      <c r="D178" s="563"/>
      <c r="E178" s="563"/>
      <c r="F178" s="563"/>
      <c r="G178" s="563"/>
      <c r="H178" s="563"/>
      <c r="J178" s="372"/>
      <c r="K178" s="563" t="e">
        <f>VLOOKUP(J178,'[3]Orçamento Sintético'!A:J,4,0)</f>
        <v>#N/A</v>
      </c>
      <c r="L178" s="563"/>
      <c r="M178" s="563"/>
      <c r="N178" s="563"/>
      <c r="O178" s="563"/>
      <c r="P178" s="563"/>
    </row>
    <row r="179" spans="2:16" ht="31.95" customHeight="1" thickTop="1" x14ac:dyDescent="0.3">
      <c r="B179" s="554" t="s">
        <v>944</v>
      </c>
      <c r="C179" s="555"/>
      <c r="D179" s="555"/>
      <c r="E179" s="555"/>
      <c r="F179" s="555"/>
      <c r="G179" s="555"/>
      <c r="H179" s="556"/>
      <c r="I179" s="374"/>
      <c r="J179" s="554" t="s">
        <v>945</v>
      </c>
      <c r="K179" s="555"/>
      <c r="L179" s="555"/>
      <c r="M179" s="555"/>
      <c r="N179" s="555"/>
      <c r="O179" s="555"/>
      <c r="P179" s="556"/>
    </row>
    <row r="180" spans="2:16" ht="39" customHeight="1" x14ac:dyDescent="0.3">
      <c r="B180" s="557" t="s">
        <v>947</v>
      </c>
      <c r="C180" s="558"/>
      <c r="D180" s="558"/>
      <c r="E180" s="558"/>
      <c r="F180" s="558"/>
      <c r="G180" s="558"/>
      <c r="H180" s="559"/>
      <c r="I180" s="375"/>
      <c r="J180" s="557" t="s">
        <v>948</v>
      </c>
      <c r="K180" s="558"/>
      <c r="L180" s="558"/>
      <c r="M180" s="558"/>
      <c r="N180" s="558"/>
      <c r="O180" s="558"/>
      <c r="P180" s="559"/>
    </row>
    <row r="181" spans="2:16" ht="31.5" customHeight="1" thickBot="1" x14ac:dyDescent="0.35">
      <c r="B181" s="560"/>
      <c r="C181" s="561"/>
      <c r="D181" s="561"/>
      <c r="E181" s="561"/>
      <c r="F181" s="561"/>
      <c r="G181" s="561"/>
      <c r="H181" s="562"/>
      <c r="I181" s="376"/>
      <c r="J181" s="560"/>
      <c r="K181" s="561"/>
      <c r="L181" s="561"/>
      <c r="M181" s="561"/>
      <c r="N181" s="561"/>
      <c r="O181" s="561"/>
      <c r="P181" s="562"/>
    </row>
    <row r="182" spans="2:16" ht="15" thickTop="1" x14ac:dyDescent="0.3"/>
  </sheetData>
  <mergeCells count="59">
    <mergeCell ref="A1:Q1"/>
    <mergeCell ref="B28:H38"/>
    <mergeCell ref="C39:H39"/>
    <mergeCell ref="K39:P39"/>
    <mergeCell ref="B41:H51"/>
    <mergeCell ref="J41:P51"/>
    <mergeCell ref="B2:H12"/>
    <mergeCell ref="C13:H13"/>
    <mergeCell ref="K13:P13"/>
    <mergeCell ref="B14:H24"/>
    <mergeCell ref="C25:H25"/>
    <mergeCell ref="K25:P25"/>
    <mergeCell ref="C91:H91"/>
    <mergeCell ref="K91:P91"/>
    <mergeCell ref="B93:H103"/>
    <mergeCell ref="J93:P103"/>
    <mergeCell ref="C52:H52"/>
    <mergeCell ref="K52:P52"/>
    <mergeCell ref="B54:H64"/>
    <mergeCell ref="J54:P64"/>
    <mergeCell ref="C65:H65"/>
    <mergeCell ref="K65:P65"/>
    <mergeCell ref="B67:H77"/>
    <mergeCell ref="J67:P77"/>
    <mergeCell ref="C78:H78"/>
    <mergeCell ref="K78:P78"/>
    <mergeCell ref="B80:H90"/>
    <mergeCell ref="J80:P90"/>
    <mergeCell ref="Z95:AF95"/>
    <mergeCell ref="B106:H116"/>
    <mergeCell ref="J106:P116"/>
    <mergeCell ref="C117:H117"/>
    <mergeCell ref="K117:P117"/>
    <mergeCell ref="C104:H104"/>
    <mergeCell ref="K104:P104"/>
    <mergeCell ref="B119:H129"/>
    <mergeCell ref="J119:P129"/>
    <mergeCell ref="C130:H130"/>
    <mergeCell ref="K130:P130"/>
    <mergeCell ref="B131:H141"/>
    <mergeCell ref="J131:P141"/>
    <mergeCell ref="C142:H142"/>
    <mergeCell ref="K142:P142"/>
    <mergeCell ref="B143:H153"/>
    <mergeCell ref="J143:P153"/>
    <mergeCell ref="C154:H154"/>
    <mergeCell ref="K154:P154"/>
    <mergeCell ref="B155:H165"/>
    <mergeCell ref="J155:P165"/>
    <mergeCell ref="B179:H179"/>
    <mergeCell ref="J179:P179"/>
    <mergeCell ref="B180:H181"/>
    <mergeCell ref="J180:P181"/>
    <mergeCell ref="C166:H166"/>
    <mergeCell ref="K166:P166"/>
    <mergeCell ref="B167:H177"/>
    <mergeCell ref="J167:P177"/>
    <mergeCell ref="C178:H178"/>
    <mergeCell ref="K178:P178"/>
  </mergeCells>
  <printOptions horizontalCentered="1"/>
  <pageMargins left="0.57999999999999996" right="0.39370078740157483" top="0.39370078740157483" bottom="0.15" header="0" footer="0"/>
  <pageSetup paperSize="9" fitToHeight="0" orientation="portrait" r:id="rId1"/>
  <rowBreaks count="2" manualBreakCount="2">
    <brk id="65" max="16" man="1"/>
    <brk id="104" max="1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02"/>
  <sheetViews>
    <sheetView topLeftCell="A19" zoomScale="90" zoomScaleNormal="90" workbookViewId="0">
      <selection activeCell="N2" sqref="N2"/>
    </sheetView>
  </sheetViews>
  <sheetFormatPr defaultColWidth="12.59765625" defaultRowHeight="15" customHeight="1" x14ac:dyDescent="0.25"/>
  <cols>
    <col min="1" max="1" width="8.3984375" style="95" customWidth="1"/>
    <col min="2" max="2" width="8.59765625" customWidth="1"/>
    <col min="3" max="3" width="9.5" customWidth="1"/>
    <col min="4" max="4" width="62" customWidth="1"/>
    <col min="5" max="5" width="6.59765625" customWidth="1"/>
    <col min="6" max="6" width="8.3984375" customWidth="1"/>
    <col min="7" max="7" width="10.8984375" customWidth="1"/>
    <col min="8" max="8" width="11.19921875" customWidth="1"/>
    <col min="9" max="9" width="12.19921875" customWidth="1"/>
    <col min="10" max="10" width="10.19921875" customWidth="1"/>
    <col min="11" max="11" width="13.19921875" customWidth="1"/>
    <col min="12" max="12" width="13.69921875" customWidth="1"/>
    <col min="13" max="13" width="10.19921875" customWidth="1"/>
    <col min="14" max="14" width="14.3984375" customWidth="1"/>
    <col min="15" max="25" width="8.59765625" customWidth="1"/>
  </cols>
  <sheetData>
    <row r="1" spans="1:14" ht="14.25" customHeight="1" x14ac:dyDescent="0.25">
      <c r="A1" s="88"/>
      <c r="B1" s="1"/>
      <c r="C1" s="1"/>
      <c r="D1" s="1" t="s">
        <v>0</v>
      </c>
      <c r="E1" s="388" t="s">
        <v>1</v>
      </c>
      <c r="F1" s="389"/>
      <c r="G1" s="197" t="s">
        <v>2</v>
      </c>
      <c r="H1" s="189" t="s">
        <v>960</v>
      </c>
      <c r="I1" s="388" t="s">
        <v>3</v>
      </c>
      <c r="J1" s="389"/>
      <c r="K1" s="4"/>
      <c r="L1" s="4"/>
      <c r="M1" s="4"/>
      <c r="N1" s="4"/>
    </row>
    <row r="2" spans="1:14" ht="97.5" customHeight="1" x14ac:dyDescent="0.25">
      <c r="A2" s="89"/>
      <c r="B2" s="2"/>
      <c r="C2" s="2"/>
      <c r="D2" s="219" t="s">
        <v>4</v>
      </c>
      <c r="E2" s="390" t="s">
        <v>5</v>
      </c>
      <c r="F2" s="389"/>
      <c r="G2" s="196" t="s">
        <v>6</v>
      </c>
      <c r="H2" s="195">
        <v>0.1099</v>
      </c>
      <c r="I2" s="391" t="s">
        <v>7</v>
      </c>
      <c r="J2" s="392"/>
      <c r="K2" s="4"/>
      <c r="L2" s="4"/>
      <c r="M2" s="4"/>
      <c r="N2" s="4"/>
    </row>
    <row r="3" spans="1:14" ht="14.25" customHeight="1" x14ac:dyDescent="0.25">
      <c r="A3" s="393" t="s">
        <v>8</v>
      </c>
      <c r="B3" s="394"/>
      <c r="C3" s="394"/>
      <c r="D3" s="394"/>
      <c r="E3" s="394"/>
      <c r="F3" s="394"/>
      <c r="G3" s="394"/>
      <c r="H3" s="394"/>
      <c r="I3" s="394"/>
      <c r="J3" s="389"/>
      <c r="K3" s="4"/>
      <c r="L3" s="4"/>
      <c r="M3" s="4"/>
      <c r="N3" s="4"/>
    </row>
    <row r="4" spans="1:14" ht="34.200000000000003" customHeight="1" x14ac:dyDescent="0.25">
      <c r="A4" s="90" t="s">
        <v>9</v>
      </c>
      <c r="B4" s="6" t="s">
        <v>10</v>
      </c>
      <c r="C4" s="5" t="s">
        <v>11</v>
      </c>
      <c r="D4" s="5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26" t="s">
        <v>18</v>
      </c>
      <c r="K4" s="213" t="s">
        <v>956</v>
      </c>
      <c r="L4" s="213" t="s">
        <v>957</v>
      </c>
      <c r="M4" s="213" t="s">
        <v>958</v>
      </c>
      <c r="N4" s="214" t="s">
        <v>959</v>
      </c>
    </row>
    <row r="5" spans="1:14" ht="14.25" customHeight="1" x14ac:dyDescent="0.25">
      <c r="A5" s="91"/>
      <c r="B5" s="8"/>
      <c r="C5" s="8"/>
      <c r="D5" s="8"/>
      <c r="E5" s="8"/>
      <c r="F5" s="9"/>
      <c r="G5" s="8"/>
      <c r="H5" s="8"/>
      <c r="I5" s="10"/>
      <c r="J5" s="27"/>
      <c r="K5" s="8"/>
      <c r="L5" s="9"/>
      <c r="M5" s="8"/>
      <c r="N5" s="192"/>
    </row>
    <row r="6" spans="1:14" ht="14.25" customHeight="1" x14ac:dyDescent="0.25">
      <c r="A6" s="91" t="s">
        <v>19</v>
      </c>
      <c r="B6" s="8"/>
      <c r="C6" s="8"/>
      <c r="D6" s="8" t="s">
        <v>20</v>
      </c>
      <c r="E6" s="8"/>
      <c r="F6" s="9"/>
      <c r="G6" s="8"/>
      <c r="H6" s="8"/>
      <c r="I6" s="10">
        <v>73151.73</v>
      </c>
      <c r="J6" s="27">
        <v>5.2213940042826555E-2</v>
      </c>
      <c r="K6" s="8"/>
      <c r="L6" s="9"/>
      <c r="M6" s="8"/>
      <c r="N6" s="198">
        <f>SUM(N7:N16)</f>
        <v>81191.109566600004</v>
      </c>
    </row>
    <row r="7" spans="1:14" ht="14.25" customHeight="1" x14ac:dyDescent="0.25">
      <c r="A7" s="92" t="s">
        <v>597</v>
      </c>
      <c r="B7" s="12" t="s">
        <v>21</v>
      </c>
      <c r="C7" s="11" t="s">
        <v>22</v>
      </c>
      <c r="D7" s="11" t="s">
        <v>23</v>
      </c>
      <c r="E7" s="13" t="s">
        <v>24</v>
      </c>
      <c r="F7" s="12">
        <v>10</v>
      </c>
      <c r="G7" s="14">
        <v>254.25</v>
      </c>
      <c r="H7" s="14">
        <v>311.37</v>
      </c>
      <c r="I7" s="14">
        <v>3113.7</v>
      </c>
      <c r="J7" s="28">
        <v>2.2224839400428265E-3</v>
      </c>
      <c r="K7" s="14">
        <f>H7</f>
        <v>311.37</v>
      </c>
      <c r="L7" s="14">
        <f>K7*10.99%</f>
        <v>34.219563000000001</v>
      </c>
      <c r="M7" s="14">
        <f>K7+L7</f>
        <v>345.589563</v>
      </c>
      <c r="N7" s="193">
        <f>F7*M7</f>
        <v>3455.89563</v>
      </c>
    </row>
    <row r="8" spans="1:14" ht="14.25" customHeight="1" x14ac:dyDescent="0.25">
      <c r="A8" s="92" t="s">
        <v>600</v>
      </c>
      <c r="B8" s="12" t="s">
        <v>25</v>
      </c>
      <c r="C8" s="11" t="s">
        <v>26</v>
      </c>
      <c r="D8" s="11" t="s">
        <v>27</v>
      </c>
      <c r="E8" s="13" t="s">
        <v>24</v>
      </c>
      <c r="F8" s="12">
        <v>176</v>
      </c>
      <c r="G8" s="14">
        <v>75.78</v>
      </c>
      <c r="H8" s="14">
        <v>92.8</v>
      </c>
      <c r="I8" s="14">
        <v>16332.8</v>
      </c>
      <c r="J8" s="28">
        <v>1.1657958600999286E-2</v>
      </c>
      <c r="K8" s="14">
        <f t="shared" ref="K8:K16" si="0">H8</f>
        <v>92.8</v>
      </c>
      <c r="L8" s="14">
        <f t="shared" ref="L8:L21" si="1">K8*10.99%</f>
        <v>10.19872</v>
      </c>
      <c r="M8" s="14">
        <f t="shared" ref="M8:M16" si="2">K8+L8</f>
        <v>102.99871999999999</v>
      </c>
      <c r="N8" s="193">
        <f t="shared" ref="N8:N16" si="3">F8*M8</f>
        <v>18127.774719999998</v>
      </c>
    </row>
    <row r="9" spans="1:14" ht="14.25" customHeight="1" x14ac:dyDescent="0.25">
      <c r="A9" s="92" t="s">
        <v>598</v>
      </c>
      <c r="B9" s="12" t="s">
        <v>28</v>
      </c>
      <c r="C9" s="11" t="s">
        <v>29</v>
      </c>
      <c r="D9" s="11" t="s">
        <v>30</v>
      </c>
      <c r="E9" s="13" t="s">
        <v>31</v>
      </c>
      <c r="F9" s="12">
        <v>1</v>
      </c>
      <c r="G9" s="14">
        <v>931.54</v>
      </c>
      <c r="H9" s="14">
        <v>1140.8499999999999</v>
      </c>
      <c r="I9" s="14">
        <v>1140.8499999999999</v>
      </c>
      <c r="J9" s="28">
        <v>8.1431120628122774E-4</v>
      </c>
      <c r="K9" s="14">
        <f t="shared" si="0"/>
        <v>1140.8499999999999</v>
      </c>
      <c r="L9" s="14">
        <f t="shared" si="1"/>
        <v>125.37941499999998</v>
      </c>
      <c r="M9" s="14">
        <f t="shared" si="2"/>
        <v>1266.2294149999998</v>
      </c>
      <c r="N9" s="193">
        <f t="shared" si="3"/>
        <v>1266.2294149999998</v>
      </c>
    </row>
    <row r="10" spans="1:14" ht="39" customHeight="1" x14ac:dyDescent="0.25">
      <c r="A10" s="92" t="s">
        <v>601</v>
      </c>
      <c r="B10" s="12" t="s">
        <v>32</v>
      </c>
      <c r="C10" s="11" t="s">
        <v>26</v>
      </c>
      <c r="D10" s="11" t="s">
        <v>33</v>
      </c>
      <c r="E10" s="13" t="s">
        <v>31</v>
      </c>
      <c r="F10" s="12">
        <v>1</v>
      </c>
      <c r="G10" s="14">
        <v>3683.51</v>
      </c>
      <c r="H10" s="14">
        <v>4511.1899999999996</v>
      </c>
      <c r="I10" s="14">
        <v>4511.1899999999996</v>
      </c>
      <c r="J10" s="28">
        <v>3.2199785867237686E-3</v>
      </c>
      <c r="K10" s="14">
        <f t="shared" si="0"/>
        <v>4511.1899999999996</v>
      </c>
      <c r="L10" s="14">
        <f t="shared" si="1"/>
        <v>495.77978099999996</v>
      </c>
      <c r="M10" s="14">
        <f t="shared" si="2"/>
        <v>5006.9697809999998</v>
      </c>
      <c r="N10" s="193">
        <f t="shared" si="3"/>
        <v>5006.9697809999998</v>
      </c>
    </row>
    <row r="11" spans="1:14" ht="14.25" customHeight="1" x14ac:dyDescent="0.25">
      <c r="A11" s="92" t="s">
        <v>599</v>
      </c>
      <c r="B11" s="12" t="s">
        <v>34</v>
      </c>
      <c r="C11" s="11" t="s">
        <v>29</v>
      </c>
      <c r="D11" s="11" t="s">
        <v>35</v>
      </c>
      <c r="E11" s="13" t="s">
        <v>31</v>
      </c>
      <c r="F11" s="12">
        <v>1</v>
      </c>
      <c r="G11" s="14">
        <v>3590.77</v>
      </c>
      <c r="H11" s="14">
        <v>4397.6099999999997</v>
      </c>
      <c r="I11" s="14">
        <v>4397.6099999999997</v>
      </c>
      <c r="J11" s="28">
        <v>3.1389079229122057E-3</v>
      </c>
      <c r="K11" s="14">
        <f t="shared" si="0"/>
        <v>4397.6099999999997</v>
      </c>
      <c r="L11" s="14">
        <f t="shared" si="1"/>
        <v>483.29733899999997</v>
      </c>
      <c r="M11" s="14">
        <f t="shared" si="2"/>
        <v>4880.9073389999994</v>
      </c>
      <c r="N11" s="193">
        <f t="shared" si="3"/>
        <v>4880.9073389999994</v>
      </c>
    </row>
    <row r="12" spans="1:14" ht="39" customHeight="1" x14ac:dyDescent="0.25">
      <c r="A12" s="92" t="s">
        <v>602</v>
      </c>
      <c r="B12" s="12" t="s">
        <v>36</v>
      </c>
      <c r="C12" s="11" t="s">
        <v>26</v>
      </c>
      <c r="D12" s="11" t="s">
        <v>37</v>
      </c>
      <c r="E12" s="13" t="s">
        <v>24</v>
      </c>
      <c r="F12" s="12">
        <v>2.52</v>
      </c>
      <c r="G12" s="14">
        <v>679.04</v>
      </c>
      <c r="H12" s="14">
        <v>831.62</v>
      </c>
      <c r="I12" s="14">
        <v>2095.6799999999998</v>
      </c>
      <c r="J12" s="28">
        <v>1.4958458244111348E-3</v>
      </c>
      <c r="K12" s="14">
        <f t="shared" si="0"/>
        <v>831.62</v>
      </c>
      <c r="L12" s="14">
        <f t="shared" si="1"/>
        <v>91.395038</v>
      </c>
      <c r="M12" s="14">
        <f t="shared" si="2"/>
        <v>923.015038</v>
      </c>
      <c r="N12" s="193">
        <f t="shared" si="3"/>
        <v>2325.9978957600001</v>
      </c>
    </row>
    <row r="13" spans="1:14" ht="39" customHeight="1" x14ac:dyDescent="0.25">
      <c r="A13" s="92" t="s">
        <v>603</v>
      </c>
      <c r="B13" s="12" t="s">
        <v>38</v>
      </c>
      <c r="C13" s="11" t="s">
        <v>26</v>
      </c>
      <c r="D13" s="11" t="s">
        <v>39</v>
      </c>
      <c r="E13" s="13" t="s">
        <v>24</v>
      </c>
      <c r="F13" s="12">
        <v>20</v>
      </c>
      <c r="G13" s="14">
        <v>729.35</v>
      </c>
      <c r="H13" s="14">
        <v>893.23</v>
      </c>
      <c r="I13" s="14">
        <v>17864.599999999999</v>
      </c>
      <c r="J13" s="28">
        <v>1.2751320485367595E-2</v>
      </c>
      <c r="K13" s="14">
        <f t="shared" si="0"/>
        <v>893.23</v>
      </c>
      <c r="L13" s="14">
        <f t="shared" si="1"/>
        <v>98.165976999999998</v>
      </c>
      <c r="M13" s="14">
        <f t="shared" si="2"/>
        <v>991.39597700000002</v>
      </c>
      <c r="N13" s="193">
        <f t="shared" si="3"/>
        <v>19827.919539999999</v>
      </c>
    </row>
    <row r="14" spans="1:14" ht="14.25" customHeight="1" x14ac:dyDescent="0.25">
      <c r="A14" s="92" t="s">
        <v>604</v>
      </c>
      <c r="B14" s="12" t="s">
        <v>40</v>
      </c>
      <c r="C14" s="11" t="s">
        <v>26</v>
      </c>
      <c r="D14" s="11" t="s">
        <v>41</v>
      </c>
      <c r="E14" s="13" t="s">
        <v>24</v>
      </c>
      <c r="F14" s="12">
        <v>20</v>
      </c>
      <c r="G14" s="14">
        <v>598.34</v>
      </c>
      <c r="H14" s="14">
        <v>732.78</v>
      </c>
      <c r="I14" s="14">
        <v>14655.6</v>
      </c>
      <c r="J14" s="28">
        <v>1.0460813704496788E-2</v>
      </c>
      <c r="K14" s="14">
        <f t="shared" si="0"/>
        <v>732.78</v>
      </c>
      <c r="L14" s="14">
        <f t="shared" si="1"/>
        <v>80.532522</v>
      </c>
      <c r="M14" s="14">
        <f t="shared" si="2"/>
        <v>813.31252199999994</v>
      </c>
      <c r="N14" s="193">
        <f t="shared" si="3"/>
        <v>16266.25044</v>
      </c>
    </row>
    <row r="15" spans="1:14" ht="14.25" customHeight="1" x14ac:dyDescent="0.25">
      <c r="A15" s="92" t="s">
        <v>605</v>
      </c>
      <c r="B15" s="12" t="s">
        <v>42</v>
      </c>
      <c r="C15" s="11" t="s">
        <v>29</v>
      </c>
      <c r="D15" s="11" t="s">
        <v>43</v>
      </c>
      <c r="E15" s="13" t="s">
        <v>24</v>
      </c>
      <c r="F15" s="12">
        <v>1129.6400000000001</v>
      </c>
      <c r="G15" s="14">
        <v>5.67</v>
      </c>
      <c r="H15" s="14">
        <v>6.94</v>
      </c>
      <c r="I15" s="14">
        <v>7839.7</v>
      </c>
      <c r="J15" s="28">
        <v>5.5957887223411851E-3</v>
      </c>
      <c r="K15" s="14">
        <f t="shared" si="0"/>
        <v>6.94</v>
      </c>
      <c r="L15" s="14">
        <f t="shared" si="1"/>
        <v>0.762706</v>
      </c>
      <c r="M15" s="14">
        <f t="shared" si="2"/>
        <v>7.7027060000000001</v>
      </c>
      <c r="N15" s="193">
        <f t="shared" si="3"/>
        <v>8701.2848058400014</v>
      </c>
    </row>
    <row r="16" spans="1:14" ht="39" customHeight="1" x14ac:dyDescent="0.25">
      <c r="A16" s="92" t="s">
        <v>606</v>
      </c>
      <c r="B16" s="12" t="s">
        <v>44</v>
      </c>
      <c r="C16" s="11" t="s">
        <v>26</v>
      </c>
      <c r="D16" s="11" t="s">
        <v>45</v>
      </c>
      <c r="E16" s="13" t="s">
        <v>24</v>
      </c>
      <c r="F16" s="12">
        <v>4000</v>
      </c>
      <c r="G16" s="14">
        <v>0.25</v>
      </c>
      <c r="H16" s="14">
        <v>0.3</v>
      </c>
      <c r="I16" s="14">
        <v>1200</v>
      </c>
      <c r="J16" s="28">
        <v>8.5653104925053529E-4</v>
      </c>
      <c r="K16" s="14">
        <f t="shared" si="0"/>
        <v>0.3</v>
      </c>
      <c r="L16" s="14">
        <f t="shared" si="1"/>
        <v>3.2969999999999999E-2</v>
      </c>
      <c r="M16" s="14">
        <f t="shared" si="2"/>
        <v>0.33296999999999999</v>
      </c>
      <c r="N16" s="193">
        <f t="shared" si="3"/>
        <v>1331.8799999999999</v>
      </c>
    </row>
    <row r="17" spans="1:14" ht="14.25" customHeight="1" x14ac:dyDescent="0.25">
      <c r="A17" s="91" t="s">
        <v>46</v>
      </c>
      <c r="B17" s="8"/>
      <c r="C17" s="8"/>
      <c r="D17" s="8" t="s">
        <v>47</v>
      </c>
      <c r="E17" s="8"/>
      <c r="F17" s="9"/>
      <c r="G17" s="8"/>
      <c r="H17" s="8"/>
      <c r="I17" s="10">
        <v>31327.78</v>
      </c>
      <c r="J17" s="27">
        <v>2.2361013561741614E-2</v>
      </c>
      <c r="K17" s="8"/>
      <c r="L17" s="8"/>
      <c r="M17" s="8"/>
      <c r="N17" s="198">
        <f>SUM(N18:N21)</f>
        <v>34770.732545339997</v>
      </c>
    </row>
    <row r="18" spans="1:14" ht="25.5" customHeight="1" x14ac:dyDescent="0.25">
      <c r="A18" s="92" t="s">
        <v>619</v>
      </c>
      <c r="B18" s="12" t="s">
        <v>48</v>
      </c>
      <c r="C18" s="11" t="s">
        <v>26</v>
      </c>
      <c r="D18" s="11" t="s">
        <v>49</v>
      </c>
      <c r="E18" s="13" t="s">
        <v>50</v>
      </c>
      <c r="F18" s="12">
        <v>168.5</v>
      </c>
      <c r="G18" s="14">
        <v>54</v>
      </c>
      <c r="H18" s="14">
        <v>66.13</v>
      </c>
      <c r="I18" s="14">
        <v>11142.9</v>
      </c>
      <c r="J18" s="28">
        <v>7.9535331905781579E-3</v>
      </c>
      <c r="K18" s="14">
        <f t="shared" ref="K18:K21" si="4">H18</f>
        <v>66.13</v>
      </c>
      <c r="L18" s="14">
        <f t="shared" si="1"/>
        <v>7.2676869999999996</v>
      </c>
      <c r="M18" s="14">
        <f t="shared" ref="M18:M21" si="5">K18+L18</f>
        <v>73.397686999999991</v>
      </c>
      <c r="N18" s="193">
        <f t="shared" ref="N18:N21" si="6">F18*M18</f>
        <v>12367.510259499999</v>
      </c>
    </row>
    <row r="19" spans="1:14" ht="25.5" customHeight="1" x14ac:dyDescent="0.25">
      <c r="A19" s="92" t="s">
        <v>620</v>
      </c>
      <c r="B19" s="12" t="s">
        <v>51</v>
      </c>
      <c r="C19" s="11" t="s">
        <v>26</v>
      </c>
      <c r="D19" s="11" t="s">
        <v>52</v>
      </c>
      <c r="E19" s="13" t="s">
        <v>50</v>
      </c>
      <c r="F19" s="12">
        <v>94.33</v>
      </c>
      <c r="G19" s="14">
        <v>56.41</v>
      </c>
      <c r="H19" s="14">
        <v>69.08</v>
      </c>
      <c r="I19" s="14">
        <v>6516.31</v>
      </c>
      <c r="J19" s="28">
        <v>4.6511848679514634E-3</v>
      </c>
      <c r="K19" s="14">
        <f t="shared" si="4"/>
        <v>69.08</v>
      </c>
      <c r="L19" s="14">
        <f t="shared" si="1"/>
        <v>7.5918919999999996</v>
      </c>
      <c r="M19" s="14">
        <f t="shared" si="5"/>
        <v>76.671892</v>
      </c>
      <c r="N19" s="193">
        <f t="shared" si="6"/>
        <v>7232.4595723599996</v>
      </c>
    </row>
    <row r="20" spans="1:14" ht="25.5" customHeight="1" x14ac:dyDescent="0.25">
      <c r="A20" s="92" t="s">
        <v>636</v>
      </c>
      <c r="B20" s="12" t="s">
        <v>48</v>
      </c>
      <c r="C20" s="11" t="s">
        <v>26</v>
      </c>
      <c r="D20" s="11" t="s">
        <v>49</v>
      </c>
      <c r="E20" s="13" t="s">
        <v>50</v>
      </c>
      <c r="F20" s="12">
        <v>184.58</v>
      </c>
      <c r="G20" s="14">
        <v>54</v>
      </c>
      <c r="H20" s="14">
        <v>66.13</v>
      </c>
      <c r="I20" s="14">
        <v>12206.27</v>
      </c>
      <c r="J20" s="28">
        <v>8.7125410421127758E-3</v>
      </c>
      <c r="K20" s="14">
        <f t="shared" si="4"/>
        <v>66.13</v>
      </c>
      <c r="L20" s="14">
        <f t="shared" si="1"/>
        <v>7.2676869999999996</v>
      </c>
      <c r="M20" s="14">
        <f t="shared" si="5"/>
        <v>73.397686999999991</v>
      </c>
      <c r="N20" s="193">
        <f t="shared" si="6"/>
        <v>13547.745066459998</v>
      </c>
    </row>
    <row r="21" spans="1:14" ht="25.5" customHeight="1" x14ac:dyDescent="0.25">
      <c r="A21" s="92" t="s">
        <v>637</v>
      </c>
      <c r="B21" s="12" t="s">
        <v>53</v>
      </c>
      <c r="C21" s="11" t="s">
        <v>26</v>
      </c>
      <c r="D21" s="11" t="s">
        <v>54</v>
      </c>
      <c r="E21" s="13" t="s">
        <v>50</v>
      </c>
      <c r="F21" s="12">
        <v>55.58</v>
      </c>
      <c r="G21" s="14">
        <v>21.49</v>
      </c>
      <c r="H21" s="14">
        <v>26.31</v>
      </c>
      <c r="I21" s="14">
        <v>1462.3</v>
      </c>
      <c r="J21" s="28">
        <v>1.0437544610992148E-3</v>
      </c>
      <c r="K21" s="14">
        <f t="shared" si="4"/>
        <v>26.31</v>
      </c>
      <c r="L21" s="14">
        <f t="shared" si="1"/>
        <v>2.8914689999999998</v>
      </c>
      <c r="M21" s="14">
        <f t="shared" si="5"/>
        <v>29.201468999999999</v>
      </c>
      <c r="N21" s="193">
        <f t="shared" si="6"/>
        <v>1623.0176470199999</v>
      </c>
    </row>
    <row r="22" spans="1:14" ht="14.25" customHeight="1" x14ac:dyDescent="0.25">
      <c r="A22" s="91" t="s">
        <v>55</v>
      </c>
      <c r="B22" s="8"/>
      <c r="C22" s="8"/>
      <c r="D22" s="8" t="s">
        <v>56</v>
      </c>
      <c r="E22" s="8"/>
      <c r="F22" s="9"/>
      <c r="G22" s="8"/>
      <c r="H22" s="8"/>
      <c r="I22" s="10">
        <v>110557.96</v>
      </c>
      <c r="J22" s="27">
        <v>7.8913604568165596E-2</v>
      </c>
      <c r="K22" s="8"/>
      <c r="L22" s="8"/>
      <c r="M22" s="8"/>
      <c r="N22" s="192"/>
    </row>
    <row r="23" spans="1:14" ht="14.25" customHeight="1" x14ac:dyDescent="0.25">
      <c r="A23" s="91" t="s">
        <v>57</v>
      </c>
      <c r="B23" s="8"/>
      <c r="C23" s="8"/>
      <c r="D23" s="8" t="s">
        <v>58</v>
      </c>
      <c r="E23" s="8"/>
      <c r="F23" s="9"/>
      <c r="G23" s="8"/>
      <c r="H23" s="8"/>
      <c r="I23" s="10">
        <v>40612.69</v>
      </c>
      <c r="J23" s="27">
        <v>2.8988358315488936E-2</v>
      </c>
      <c r="K23" s="8"/>
      <c r="L23" s="8"/>
      <c r="M23" s="8"/>
      <c r="N23" s="198">
        <f>SUM(N24:N31)</f>
        <v>45076.072134720001</v>
      </c>
    </row>
    <row r="24" spans="1:14" ht="14.25" customHeight="1" x14ac:dyDescent="0.25">
      <c r="A24" s="92" t="s">
        <v>626</v>
      </c>
      <c r="B24" s="12" t="s">
        <v>59</v>
      </c>
      <c r="C24" s="11" t="s">
        <v>26</v>
      </c>
      <c r="D24" s="11" t="s">
        <v>60</v>
      </c>
      <c r="E24" s="13" t="s">
        <v>24</v>
      </c>
      <c r="F24" s="12">
        <v>61.88</v>
      </c>
      <c r="G24" s="14">
        <v>22.37</v>
      </c>
      <c r="H24" s="14">
        <v>27.39</v>
      </c>
      <c r="I24" s="14">
        <v>1694.89</v>
      </c>
      <c r="J24" s="28">
        <v>1.2097715917201999E-3</v>
      </c>
      <c r="K24" s="14">
        <f t="shared" ref="K24:K31" si="7">H24</f>
        <v>27.39</v>
      </c>
      <c r="L24" s="14">
        <f t="shared" ref="L24:L31" si="8">K24*10.99%</f>
        <v>3.0101610000000001</v>
      </c>
      <c r="M24" s="14">
        <f t="shared" ref="M24:M31" si="9">K24+L24</f>
        <v>30.400161000000001</v>
      </c>
      <c r="N24" s="193">
        <f t="shared" ref="N24:N31" si="10">F24*M24</f>
        <v>1881.1619626800002</v>
      </c>
    </row>
    <row r="25" spans="1:14" ht="14.25" customHeight="1" x14ac:dyDescent="0.25">
      <c r="A25" s="92" t="s">
        <v>629</v>
      </c>
      <c r="B25" s="12" t="s">
        <v>61</v>
      </c>
      <c r="C25" s="11" t="s">
        <v>26</v>
      </c>
      <c r="D25" s="11" t="s">
        <v>62</v>
      </c>
      <c r="E25" s="13" t="s">
        <v>24</v>
      </c>
      <c r="F25" s="12">
        <v>165.15</v>
      </c>
      <c r="G25" s="14">
        <v>104.74</v>
      </c>
      <c r="H25" s="14">
        <v>128.27000000000001</v>
      </c>
      <c r="I25" s="14">
        <v>21183.79</v>
      </c>
      <c r="J25" s="28">
        <v>1.5120478229835832E-2</v>
      </c>
      <c r="K25" s="14">
        <f t="shared" si="7"/>
        <v>128.27000000000001</v>
      </c>
      <c r="L25" s="14">
        <f t="shared" si="8"/>
        <v>14.096873</v>
      </c>
      <c r="M25" s="14">
        <f t="shared" si="9"/>
        <v>142.366873</v>
      </c>
      <c r="N25" s="193">
        <f t="shared" si="10"/>
        <v>23511.889075949999</v>
      </c>
    </row>
    <row r="26" spans="1:14" ht="39" customHeight="1" x14ac:dyDescent="0.25">
      <c r="A26" s="92" t="s">
        <v>638</v>
      </c>
      <c r="B26" s="12" t="s">
        <v>63</v>
      </c>
      <c r="C26" s="11" t="s">
        <v>26</v>
      </c>
      <c r="D26" s="11" t="s">
        <v>64</v>
      </c>
      <c r="E26" s="13" t="s">
        <v>65</v>
      </c>
      <c r="F26" s="64">
        <v>6.55</v>
      </c>
      <c r="G26" s="14">
        <v>11.54</v>
      </c>
      <c r="H26" s="14">
        <v>14.13</v>
      </c>
      <c r="I26" s="14">
        <v>92.55</v>
      </c>
      <c r="J26" s="28">
        <v>6.6059957173447543E-5</v>
      </c>
      <c r="K26" s="14">
        <f t="shared" si="7"/>
        <v>14.13</v>
      </c>
      <c r="L26" s="14">
        <f t="shared" si="8"/>
        <v>1.5528870000000001</v>
      </c>
      <c r="M26" s="14">
        <f t="shared" si="9"/>
        <v>15.682887000000001</v>
      </c>
      <c r="N26" s="193">
        <f t="shared" si="10"/>
        <v>102.72290985000001</v>
      </c>
    </row>
    <row r="27" spans="1:14" ht="39" customHeight="1" x14ac:dyDescent="0.25">
      <c r="A27" s="92" t="s">
        <v>639</v>
      </c>
      <c r="B27" s="12" t="s">
        <v>66</v>
      </c>
      <c r="C27" s="11" t="s">
        <v>26</v>
      </c>
      <c r="D27" s="11" t="s">
        <v>67</v>
      </c>
      <c r="E27" s="13" t="s">
        <v>65</v>
      </c>
      <c r="F27" s="64">
        <v>32.450000000000003</v>
      </c>
      <c r="G27" s="14">
        <v>10.65</v>
      </c>
      <c r="H27" s="14">
        <v>13.04</v>
      </c>
      <c r="I27" s="14">
        <v>423.14</v>
      </c>
      <c r="J27" s="28">
        <v>3.0202712348322626E-4</v>
      </c>
      <c r="K27" s="14">
        <f t="shared" si="7"/>
        <v>13.04</v>
      </c>
      <c r="L27" s="14">
        <f t="shared" si="8"/>
        <v>1.4330959999999999</v>
      </c>
      <c r="M27" s="14">
        <f t="shared" si="9"/>
        <v>14.473095999999998</v>
      </c>
      <c r="N27" s="193">
        <f t="shared" si="10"/>
        <v>469.65196520000001</v>
      </c>
    </row>
    <row r="28" spans="1:14" ht="39" customHeight="1" x14ac:dyDescent="0.25">
      <c r="A28" s="92" t="s">
        <v>631</v>
      </c>
      <c r="B28" s="12" t="s">
        <v>68</v>
      </c>
      <c r="C28" s="11" t="s">
        <v>26</v>
      </c>
      <c r="D28" s="11" t="s">
        <v>69</v>
      </c>
      <c r="E28" s="13" t="s">
        <v>65</v>
      </c>
      <c r="F28" s="62">
        <v>312.26</v>
      </c>
      <c r="G28" s="14">
        <v>9.39</v>
      </c>
      <c r="H28" s="14">
        <v>11.49</v>
      </c>
      <c r="I28" s="14">
        <v>3587.86</v>
      </c>
      <c r="J28" s="28">
        <v>2.5609279086366882E-3</v>
      </c>
      <c r="K28" s="14">
        <f t="shared" si="7"/>
        <v>11.49</v>
      </c>
      <c r="L28" s="14">
        <f t="shared" si="8"/>
        <v>1.262751</v>
      </c>
      <c r="M28" s="14">
        <f t="shared" si="9"/>
        <v>12.752751</v>
      </c>
      <c r="N28" s="193">
        <f t="shared" si="10"/>
        <v>3982.17402726</v>
      </c>
    </row>
    <row r="29" spans="1:14" ht="39" customHeight="1" x14ac:dyDescent="0.25">
      <c r="A29" s="92" t="s">
        <v>632</v>
      </c>
      <c r="B29" s="12" t="s">
        <v>70</v>
      </c>
      <c r="C29" s="11" t="s">
        <v>26</v>
      </c>
      <c r="D29" s="11" t="s">
        <v>71</v>
      </c>
      <c r="E29" s="13" t="s">
        <v>65</v>
      </c>
      <c r="F29" s="62">
        <v>32.64</v>
      </c>
      <c r="G29" s="14">
        <v>7.82</v>
      </c>
      <c r="H29" s="14">
        <v>9.57</v>
      </c>
      <c r="I29" s="14">
        <v>312.36</v>
      </c>
      <c r="J29" s="28">
        <v>2.2295503211991434E-4</v>
      </c>
      <c r="K29" s="14">
        <f t="shared" si="7"/>
        <v>9.57</v>
      </c>
      <c r="L29" s="14">
        <f t="shared" si="8"/>
        <v>1.0517430000000001</v>
      </c>
      <c r="M29" s="14">
        <f t="shared" si="9"/>
        <v>10.621743</v>
      </c>
      <c r="N29" s="193">
        <f t="shared" si="10"/>
        <v>346.69369152000002</v>
      </c>
    </row>
    <row r="30" spans="1:14" ht="39" customHeight="1" x14ac:dyDescent="0.25">
      <c r="A30" s="92" t="s">
        <v>633</v>
      </c>
      <c r="B30" s="12" t="s">
        <v>72</v>
      </c>
      <c r="C30" s="11" t="s">
        <v>26</v>
      </c>
      <c r="D30" s="11" t="s">
        <v>73</v>
      </c>
      <c r="E30" s="13" t="s">
        <v>65</v>
      </c>
      <c r="F30" s="63">
        <v>307.55</v>
      </c>
      <c r="G30" s="14">
        <v>12.4</v>
      </c>
      <c r="H30" s="14">
        <v>15.18</v>
      </c>
      <c r="I30" s="14">
        <v>4668.6000000000004</v>
      </c>
      <c r="J30" s="28">
        <v>3.3323340471092078E-3</v>
      </c>
      <c r="K30" s="14">
        <f t="shared" si="7"/>
        <v>15.18</v>
      </c>
      <c r="L30" s="14">
        <f t="shared" si="8"/>
        <v>1.668282</v>
      </c>
      <c r="M30" s="14">
        <f t="shared" si="9"/>
        <v>16.848282000000001</v>
      </c>
      <c r="N30" s="193">
        <f t="shared" si="10"/>
        <v>5181.6891291000002</v>
      </c>
    </row>
    <row r="31" spans="1:14" ht="14.25" customHeight="1" x14ac:dyDescent="0.25">
      <c r="A31" s="92" t="s">
        <v>634</v>
      </c>
      <c r="B31" s="12" t="s">
        <v>74</v>
      </c>
      <c r="C31" s="11" t="s">
        <v>26</v>
      </c>
      <c r="D31" s="11" t="s">
        <v>75</v>
      </c>
      <c r="E31" s="13" t="s">
        <v>50</v>
      </c>
      <c r="F31" s="62">
        <v>16.12</v>
      </c>
      <c r="G31" s="14">
        <v>438.13</v>
      </c>
      <c r="H31" s="14">
        <v>536.57000000000005</v>
      </c>
      <c r="I31" s="14">
        <v>8649.5</v>
      </c>
      <c r="J31" s="28">
        <v>6.173804425410421E-3</v>
      </c>
      <c r="K31" s="14">
        <f t="shared" si="7"/>
        <v>536.57000000000005</v>
      </c>
      <c r="L31" s="14">
        <f t="shared" si="8"/>
        <v>58.969043000000006</v>
      </c>
      <c r="M31" s="14">
        <f t="shared" si="9"/>
        <v>595.53904300000011</v>
      </c>
      <c r="N31" s="193">
        <f t="shared" si="10"/>
        <v>9600.0893731600027</v>
      </c>
    </row>
    <row r="32" spans="1:14" ht="24" customHeight="1" x14ac:dyDescent="0.25">
      <c r="A32" s="91" t="s">
        <v>76</v>
      </c>
      <c r="B32" s="8"/>
      <c r="C32" s="8"/>
      <c r="D32" s="8" t="s">
        <v>77</v>
      </c>
      <c r="E32" s="8"/>
      <c r="F32" s="9"/>
      <c r="G32" s="8"/>
      <c r="H32" s="8"/>
      <c r="I32" s="10">
        <v>62144.6</v>
      </c>
      <c r="J32" s="27">
        <v>4.4357316202712348E-2</v>
      </c>
      <c r="K32" s="8"/>
      <c r="L32" s="8"/>
      <c r="M32" s="8"/>
      <c r="N32" s="198">
        <f>SUM(N33:N38)</f>
        <v>68974.319620470007</v>
      </c>
    </row>
    <row r="33" spans="1:14" ht="39" customHeight="1" x14ac:dyDescent="0.25">
      <c r="A33" s="92" t="s">
        <v>635</v>
      </c>
      <c r="B33" s="12" t="s">
        <v>78</v>
      </c>
      <c r="C33" s="11" t="s">
        <v>26</v>
      </c>
      <c r="D33" s="11" t="s">
        <v>79</v>
      </c>
      <c r="E33" s="13" t="s">
        <v>24</v>
      </c>
      <c r="F33" s="12">
        <v>463.48</v>
      </c>
      <c r="G33" s="14">
        <v>52.7</v>
      </c>
      <c r="H33" s="14">
        <v>64.540000000000006</v>
      </c>
      <c r="I33" s="14">
        <v>29912.99</v>
      </c>
      <c r="J33" s="28">
        <v>2.1351170592433976E-2</v>
      </c>
      <c r="K33" s="14">
        <f t="shared" ref="K33:K38" si="11">H33</f>
        <v>64.540000000000006</v>
      </c>
      <c r="L33" s="14">
        <f t="shared" ref="L33:L38" si="12">K33*10.99%</f>
        <v>7.0929460000000004</v>
      </c>
      <c r="M33" s="14">
        <f t="shared" ref="M33:M38" si="13">K33+L33</f>
        <v>71.632946000000004</v>
      </c>
      <c r="N33" s="193">
        <f t="shared" ref="N33:N38" si="14">F33*M33</f>
        <v>33200.437812080003</v>
      </c>
    </row>
    <row r="34" spans="1:14" ht="39" customHeight="1" x14ac:dyDescent="0.25">
      <c r="A34" s="92" t="s">
        <v>640</v>
      </c>
      <c r="B34" s="12" t="s">
        <v>63</v>
      </c>
      <c r="C34" s="11" t="s">
        <v>26</v>
      </c>
      <c r="D34" s="11" t="s">
        <v>64</v>
      </c>
      <c r="E34" s="13" t="s">
        <v>65</v>
      </c>
      <c r="F34" s="64">
        <v>0.73</v>
      </c>
      <c r="G34" s="14">
        <v>11.54</v>
      </c>
      <c r="H34" s="14">
        <v>14.13</v>
      </c>
      <c r="I34" s="14">
        <v>10.31</v>
      </c>
      <c r="J34" s="28">
        <v>7.359029264810849E-6</v>
      </c>
      <c r="K34" s="14">
        <f t="shared" si="11"/>
        <v>14.13</v>
      </c>
      <c r="L34" s="14">
        <f t="shared" si="12"/>
        <v>1.5528870000000001</v>
      </c>
      <c r="M34" s="14">
        <f t="shared" si="13"/>
        <v>15.682887000000001</v>
      </c>
      <c r="N34" s="193">
        <f t="shared" si="14"/>
        <v>11.448507510000001</v>
      </c>
    </row>
    <row r="35" spans="1:14" ht="39" customHeight="1" x14ac:dyDescent="0.25">
      <c r="A35" s="92" t="s">
        <v>641</v>
      </c>
      <c r="B35" s="12" t="s">
        <v>66</v>
      </c>
      <c r="C35" s="11" t="s">
        <v>26</v>
      </c>
      <c r="D35" s="11" t="s">
        <v>67</v>
      </c>
      <c r="E35" s="13" t="s">
        <v>65</v>
      </c>
      <c r="F35" s="63">
        <v>829.82</v>
      </c>
      <c r="G35" s="14">
        <v>10.65</v>
      </c>
      <c r="H35" s="14">
        <v>13.04</v>
      </c>
      <c r="I35" s="14">
        <v>10820.85</v>
      </c>
      <c r="J35" s="28">
        <v>7.7236616702355465E-3</v>
      </c>
      <c r="K35" s="14">
        <f t="shared" si="11"/>
        <v>13.04</v>
      </c>
      <c r="L35" s="14">
        <f t="shared" si="12"/>
        <v>1.4330959999999999</v>
      </c>
      <c r="M35" s="14">
        <f t="shared" si="13"/>
        <v>14.473095999999998</v>
      </c>
      <c r="N35" s="193">
        <f t="shared" si="14"/>
        <v>12010.064522719998</v>
      </c>
    </row>
    <row r="36" spans="1:14" ht="39" customHeight="1" x14ac:dyDescent="0.25">
      <c r="A36" s="92" t="s">
        <v>642</v>
      </c>
      <c r="B36" s="12" t="s">
        <v>68</v>
      </c>
      <c r="C36" s="11" t="s">
        <v>26</v>
      </c>
      <c r="D36" s="11" t="s">
        <v>69</v>
      </c>
      <c r="E36" s="13" t="s">
        <v>65</v>
      </c>
      <c r="F36" s="63">
        <v>100.82</v>
      </c>
      <c r="G36" s="14">
        <v>9.39</v>
      </c>
      <c r="H36" s="14">
        <v>11.49</v>
      </c>
      <c r="I36" s="14">
        <v>1158.42</v>
      </c>
      <c r="J36" s="28">
        <v>8.2685224839400425E-4</v>
      </c>
      <c r="K36" s="14">
        <f t="shared" si="11"/>
        <v>11.49</v>
      </c>
      <c r="L36" s="14">
        <f t="shared" si="12"/>
        <v>1.262751</v>
      </c>
      <c r="M36" s="14">
        <f t="shared" si="13"/>
        <v>12.752751</v>
      </c>
      <c r="N36" s="193">
        <f t="shared" si="14"/>
        <v>1285.7323558199998</v>
      </c>
    </row>
    <row r="37" spans="1:14" ht="39" customHeight="1" x14ac:dyDescent="0.25">
      <c r="A37" s="92" t="s">
        <v>643</v>
      </c>
      <c r="B37" s="12" t="s">
        <v>72</v>
      </c>
      <c r="C37" s="11" t="s">
        <v>26</v>
      </c>
      <c r="D37" s="11" t="s">
        <v>73</v>
      </c>
      <c r="E37" s="13" t="s">
        <v>65</v>
      </c>
      <c r="F37" s="63">
        <v>395</v>
      </c>
      <c r="G37" s="14">
        <v>12.4</v>
      </c>
      <c r="H37" s="14">
        <v>15.18</v>
      </c>
      <c r="I37" s="14">
        <v>5996.1</v>
      </c>
      <c r="J37" s="28">
        <v>4.2798715203426121E-3</v>
      </c>
      <c r="K37" s="14">
        <f t="shared" si="11"/>
        <v>15.18</v>
      </c>
      <c r="L37" s="14">
        <f t="shared" si="12"/>
        <v>1.668282</v>
      </c>
      <c r="M37" s="14">
        <f t="shared" si="13"/>
        <v>16.848282000000001</v>
      </c>
      <c r="N37" s="193">
        <f t="shared" si="14"/>
        <v>6655.0713900000001</v>
      </c>
    </row>
    <row r="38" spans="1:14" ht="39" customHeight="1" x14ac:dyDescent="0.25">
      <c r="A38" s="92" t="s">
        <v>644</v>
      </c>
      <c r="B38" s="12" t="s">
        <v>80</v>
      </c>
      <c r="C38" s="11" t="s">
        <v>26</v>
      </c>
      <c r="D38" s="11" t="s">
        <v>81</v>
      </c>
      <c r="E38" s="13" t="s">
        <v>50</v>
      </c>
      <c r="F38" s="63">
        <v>26.87</v>
      </c>
      <c r="G38" s="14">
        <v>432.91</v>
      </c>
      <c r="H38" s="14">
        <v>530.17999999999995</v>
      </c>
      <c r="I38" s="14">
        <v>14245.93</v>
      </c>
      <c r="J38" s="28">
        <v>1.0168401142041398E-2</v>
      </c>
      <c r="K38" s="14">
        <f t="shared" si="11"/>
        <v>530.17999999999995</v>
      </c>
      <c r="L38" s="14">
        <f t="shared" si="12"/>
        <v>58.266781999999992</v>
      </c>
      <c r="M38" s="14">
        <f t="shared" si="13"/>
        <v>588.44678199999998</v>
      </c>
      <c r="N38" s="193">
        <f t="shared" si="14"/>
        <v>15811.56503234</v>
      </c>
    </row>
    <row r="39" spans="1:14" ht="25.5" customHeight="1" x14ac:dyDescent="0.25">
      <c r="A39" s="91" t="s">
        <v>82</v>
      </c>
      <c r="B39" s="8"/>
      <c r="C39" s="8"/>
      <c r="D39" s="8" t="s">
        <v>83</v>
      </c>
      <c r="E39" s="8"/>
      <c r="F39" s="9"/>
      <c r="G39" s="8"/>
      <c r="H39" s="8"/>
      <c r="I39" s="10">
        <v>7800.67</v>
      </c>
      <c r="J39" s="27">
        <v>5.5679300499643109E-3</v>
      </c>
      <c r="K39" s="190"/>
      <c r="L39" s="185"/>
      <c r="M39" s="191"/>
      <c r="N39" s="198">
        <f>SUM(N40:N43)</f>
        <v>8657.970736360001</v>
      </c>
    </row>
    <row r="40" spans="1:14" ht="14.25" customHeight="1" x14ac:dyDescent="0.25">
      <c r="A40" s="92" t="s">
        <v>645</v>
      </c>
      <c r="B40" s="12" t="s">
        <v>61</v>
      </c>
      <c r="C40" s="11" t="s">
        <v>26</v>
      </c>
      <c r="D40" s="11" t="s">
        <v>62</v>
      </c>
      <c r="E40" s="13" t="s">
        <v>24</v>
      </c>
      <c r="F40" s="12">
        <v>5.6</v>
      </c>
      <c r="G40" s="14">
        <v>104.74</v>
      </c>
      <c r="H40" s="14">
        <v>128.27000000000001</v>
      </c>
      <c r="I40" s="14">
        <v>718.31</v>
      </c>
      <c r="J40" s="28">
        <v>5.1271234832262673E-4</v>
      </c>
      <c r="K40" s="14">
        <f t="shared" ref="K40:K43" si="15">H40</f>
        <v>128.27000000000001</v>
      </c>
      <c r="L40" s="14">
        <f t="shared" ref="L40:L43" si="16">K40*10.99%</f>
        <v>14.096873</v>
      </c>
      <c r="M40" s="14">
        <f t="shared" ref="M40:M43" si="17">K40+L40</f>
        <v>142.366873</v>
      </c>
      <c r="N40" s="193">
        <f t="shared" ref="N40:N43" si="18">F40*M40</f>
        <v>797.25448879999999</v>
      </c>
    </row>
    <row r="41" spans="1:14" ht="39" customHeight="1" x14ac:dyDescent="0.25">
      <c r="A41" s="92" t="s">
        <v>646</v>
      </c>
      <c r="B41" s="12" t="s">
        <v>68</v>
      </c>
      <c r="C41" s="11" t="s">
        <v>26</v>
      </c>
      <c r="D41" s="11" t="s">
        <v>69</v>
      </c>
      <c r="E41" s="13" t="s">
        <v>65</v>
      </c>
      <c r="F41" s="12">
        <v>325</v>
      </c>
      <c r="G41" s="14">
        <v>9.39</v>
      </c>
      <c r="H41" s="14">
        <v>11.49</v>
      </c>
      <c r="I41" s="14">
        <v>3734.25</v>
      </c>
      <c r="J41" s="28">
        <v>2.6654175588865098E-3</v>
      </c>
      <c r="K41" s="14">
        <f t="shared" si="15"/>
        <v>11.49</v>
      </c>
      <c r="L41" s="14">
        <f t="shared" si="16"/>
        <v>1.262751</v>
      </c>
      <c r="M41" s="14">
        <f t="shared" si="17"/>
        <v>12.752751</v>
      </c>
      <c r="N41" s="193">
        <f t="shared" si="18"/>
        <v>4144.6440750000002</v>
      </c>
    </row>
    <row r="42" spans="1:14" ht="39" customHeight="1" x14ac:dyDescent="0.25">
      <c r="A42" s="92" t="s">
        <v>647</v>
      </c>
      <c r="B42" s="12" t="s">
        <v>72</v>
      </c>
      <c r="C42" s="11" t="s">
        <v>26</v>
      </c>
      <c r="D42" s="11" t="s">
        <v>73</v>
      </c>
      <c r="E42" s="13" t="s">
        <v>65</v>
      </c>
      <c r="F42" s="12">
        <v>82</v>
      </c>
      <c r="G42" s="14">
        <v>12.4</v>
      </c>
      <c r="H42" s="14">
        <v>15.18</v>
      </c>
      <c r="I42" s="14">
        <v>1244.76</v>
      </c>
      <c r="J42" s="28">
        <v>8.8847965738758031E-4</v>
      </c>
      <c r="K42" s="14">
        <f t="shared" si="15"/>
        <v>15.18</v>
      </c>
      <c r="L42" s="14">
        <f t="shared" si="16"/>
        <v>1.668282</v>
      </c>
      <c r="M42" s="14">
        <f t="shared" si="17"/>
        <v>16.848282000000001</v>
      </c>
      <c r="N42" s="193">
        <f t="shared" si="18"/>
        <v>1381.5591240000001</v>
      </c>
    </row>
    <row r="43" spans="1:14" ht="14.25" customHeight="1" x14ac:dyDescent="0.25">
      <c r="A43" s="92" t="s">
        <v>648</v>
      </c>
      <c r="B43" s="12" t="s">
        <v>74</v>
      </c>
      <c r="C43" s="11" t="s">
        <v>26</v>
      </c>
      <c r="D43" s="11" t="s">
        <v>75</v>
      </c>
      <c r="E43" s="13" t="s">
        <v>50</v>
      </c>
      <c r="F43" s="12">
        <v>3.92</v>
      </c>
      <c r="G43" s="14">
        <v>438.13</v>
      </c>
      <c r="H43" s="14">
        <v>536.57000000000005</v>
      </c>
      <c r="I43" s="14">
        <v>2103.35</v>
      </c>
      <c r="J43" s="28">
        <v>1.5013204853675946E-3</v>
      </c>
      <c r="K43" s="14">
        <f t="shared" si="15"/>
        <v>536.57000000000005</v>
      </c>
      <c r="L43" s="14">
        <f t="shared" si="16"/>
        <v>58.969043000000006</v>
      </c>
      <c r="M43" s="14">
        <f t="shared" si="17"/>
        <v>595.53904300000011</v>
      </c>
      <c r="N43" s="193">
        <f t="shared" si="18"/>
        <v>2334.5130485600002</v>
      </c>
    </row>
    <row r="44" spans="1:14" ht="14.25" customHeight="1" x14ac:dyDescent="0.25">
      <c r="A44" s="91" t="s">
        <v>84</v>
      </c>
      <c r="B44" s="8"/>
      <c r="C44" s="8"/>
      <c r="D44" s="8" t="s">
        <v>85</v>
      </c>
      <c r="E44" s="8"/>
      <c r="F44" s="9"/>
      <c r="G44" s="8"/>
      <c r="H44" s="8"/>
      <c r="I44" s="10">
        <v>173762.92</v>
      </c>
      <c r="J44" s="27">
        <v>0.1240277801570307</v>
      </c>
      <c r="K44" s="8"/>
      <c r="L44" s="8"/>
      <c r="M44" s="8"/>
      <c r="N44" s="192"/>
    </row>
    <row r="45" spans="1:14" ht="14.25" customHeight="1" x14ac:dyDescent="0.25">
      <c r="A45" s="91" t="s">
        <v>86</v>
      </c>
      <c r="B45" s="8"/>
      <c r="C45" s="8"/>
      <c r="D45" s="8" t="s">
        <v>87</v>
      </c>
      <c r="E45" s="8"/>
      <c r="F45" s="9"/>
      <c r="G45" s="8"/>
      <c r="H45" s="8"/>
      <c r="I45" s="10">
        <v>65370.7</v>
      </c>
      <c r="J45" s="27">
        <v>4.6660028551034974E-2</v>
      </c>
      <c r="K45" s="8"/>
      <c r="L45" s="8"/>
      <c r="M45" s="8"/>
      <c r="N45" s="198">
        <f>SUM(N46:N51)</f>
        <v>72554.97644571001</v>
      </c>
    </row>
    <row r="46" spans="1:14" ht="14.25" customHeight="1" x14ac:dyDescent="0.25">
      <c r="A46" s="92" t="s">
        <v>649</v>
      </c>
      <c r="B46" s="12" t="s">
        <v>88</v>
      </c>
      <c r="C46" s="11" t="s">
        <v>26</v>
      </c>
      <c r="D46" s="11" t="s">
        <v>89</v>
      </c>
      <c r="E46" s="13" t="s">
        <v>24</v>
      </c>
      <c r="F46" s="12">
        <v>453.62</v>
      </c>
      <c r="G46" s="14">
        <v>63.48</v>
      </c>
      <c r="H46" s="14">
        <v>77.739999999999995</v>
      </c>
      <c r="I46" s="14">
        <v>35264.410000000003</v>
      </c>
      <c r="J46" s="28">
        <v>2.5170885082084225E-2</v>
      </c>
      <c r="K46" s="14">
        <f t="shared" ref="K46:K51" si="19">H46</f>
        <v>77.739999999999995</v>
      </c>
      <c r="L46" s="14">
        <f t="shared" ref="L46:L65" si="20">K46*10.99%</f>
        <v>8.5436259999999997</v>
      </c>
      <c r="M46" s="14">
        <f t="shared" ref="M46:M51" si="21">K46+L46</f>
        <v>86.283625999999998</v>
      </c>
      <c r="N46" s="193">
        <f t="shared" ref="N46:N51" si="22">F46*M46</f>
        <v>39139.978426119997</v>
      </c>
    </row>
    <row r="47" spans="1:14" ht="39" customHeight="1" x14ac:dyDescent="0.25">
      <c r="A47" s="92" t="s">
        <v>650</v>
      </c>
      <c r="B47" s="12" t="s">
        <v>90</v>
      </c>
      <c r="C47" s="11" t="s">
        <v>26</v>
      </c>
      <c r="D47" s="11" t="s">
        <v>91</v>
      </c>
      <c r="E47" s="13" t="s">
        <v>65</v>
      </c>
      <c r="F47" s="64">
        <v>0.73</v>
      </c>
      <c r="G47" s="14">
        <v>10.23</v>
      </c>
      <c r="H47" s="14">
        <v>12.52</v>
      </c>
      <c r="I47" s="14">
        <v>9.1300000000000008</v>
      </c>
      <c r="J47" s="28">
        <v>6.516773733047823E-6</v>
      </c>
      <c r="K47" s="14">
        <f t="shared" si="19"/>
        <v>12.52</v>
      </c>
      <c r="L47" s="14">
        <f t="shared" si="20"/>
        <v>1.3759479999999999</v>
      </c>
      <c r="M47" s="14">
        <f t="shared" si="21"/>
        <v>13.895947999999999</v>
      </c>
      <c r="N47" s="193">
        <f t="shared" si="22"/>
        <v>10.144042039999999</v>
      </c>
    </row>
    <row r="48" spans="1:14" ht="39" customHeight="1" x14ac:dyDescent="0.25">
      <c r="A48" s="92" t="s">
        <v>651</v>
      </c>
      <c r="B48" s="12" t="s">
        <v>92</v>
      </c>
      <c r="C48" s="11" t="s">
        <v>26</v>
      </c>
      <c r="D48" s="11" t="s">
        <v>93</v>
      </c>
      <c r="E48" s="13" t="s">
        <v>65</v>
      </c>
      <c r="F48" s="63">
        <v>829.82</v>
      </c>
      <c r="G48" s="14">
        <v>9.7200000000000006</v>
      </c>
      <c r="H48" s="14">
        <v>11.9</v>
      </c>
      <c r="I48" s="14">
        <v>9874.85</v>
      </c>
      <c r="J48" s="28">
        <v>7.0484296930763742E-3</v>
      </c>
      <c r="K48" s="14">
        <f t="shared" si="19"/>
        <v>11.9</v>
      </c>
      <c r="L48" s="14">
        <f t="shared" si="20"/>
        <v>1.3078099999999999</v>
      </c>
      <c r="M48" s="14">
        <f t="shared" si="21"/>
        <v>13.20781</v>
      </c>
      <c r="N48" s="193">
        <f t="shared" si="22"/>
        <v>10960.104894200002</v>
      </c>
    </row>
    <row r="49" spans="1:14" ht="39" customHeight="1" x14ac:dyDescent="0.25">
      <c r="A49" s="92" t="s">
        <v>652</v>
      </c>
      <c r="B49" s="12" t="s">
        <v>94</v>
      </c>
      <c r="C49" s="11" t="s">
        <v>26</v>
      </c>
      <c r="D49" s="11" t="s">
        <v>95</v>
      </c>
      <c r="E49" s="13" t="s">
        <v>65</v>
      </c>
      <c r="F49" s="63">
        <v>100.82</v>
      </c>
      <c r="G49" s="14">
        <v>8.75</v>
      </c>
      <c r="H49" s="14">
        <v>10.71</v>
      </c>
      <c r="I49" s="14">
        <v>1079.78</v>
      </c>
      <c r="J49" s="28">
        <v>7.7072091363311916E-4</v>
      </c>
      <c r="K49" s="14">
        <f t="shared" si="19"/>
        <v>10.71</v>
      </c>
      <c r="L49" s="14">
        <f t="shared" si="20"/>
        <v>1.1770290000000001</v>
      </c>
      <c r="M49" s="14">
        <f t="shared" si="21"/>
        <v>11.887029000000002</v>
      </c>
      <c r="N49" s="193">
        <f t="shared" si="22"/>
        <v>1198.4502637800001</v>
      </c>
    </row>
    <row r="50" spans="1:14" ht="39" customHeight="1" x14ac:dyDescent="0.25">
      <c r="A50" s="92" t="s">
        <v>653</v>
      </c>
      <c r="B50" s="12" t="s">
        <v>96</v>
      </c>
      <c r="C50" s="11" t="s">
        <v>26</v>
      </c>
      <c r="D50" s="11" t="s">
        <v>97</v>
      </c>
      <c r="E50" s="13" t="s">
        <v>65</v>
      </c>
      <c r="F50" s="63">
        <v>379</v>
      </c>
      <c r="G50" s="14">
        <v>10.63</v>
      </c>
      <c r="H50" s="14">
        <v>13.01</v>
      </c>
      <c r="I50" s="14">
        <v>4930.79</v>
      </c>
      <c r="J50" s="28">
        <v>3.5194789436117061E-3</v>
      </c>
      <c r="K50" s="14">
        <f t="shared" si="19"/>
        <v>13.01</v>
      </c>
      <c r="L50" s="14">
        <f t="shared" si="20"/>
        <v>1.429799</v>
      </c>
      <c r="M50" s="14">
        <f t="shared" si="21"/>
        <v>14.439799000000001</v>
      </c>
      <c r="N50" s="193">
        <f t="shared" si="22"/>
        <v>5472.6838210000005</v>
      </c>
    </row>
    <row r="51" spans="1:14" ht="39" customHeight="1" x14ac:dyDescent="0.25">
      <c r="A51" s="92" t="s">
        <v>654</v>
      </c>
      <c r="B51" s="12" t="s">
        <v>98</v>
      </c>
      <c r="C51" s="11" t="s">
        <v>26</v>
      </c>
      <c r="D51" s="11" t="s">
        <v>99</v>
      </c>
      <c r="E51" s="13" t="s">
        <v>50</v>
      </c>
      <c r="F51" s="63">
        <v>27.81</v>
      </c>
      <c r="G51" s="14">
        <v>417.27</v>
      </c>
      <c r="H51" s="14">
        <v>511.03</v>
      </c>
      <c r="I51" s="14">
        <v>14211.74</v>
      </c>
      <c r="J51" s="28">
        <v>1.0143997144896503E-2</v>
      </c>
      <c r="K51" s="14">
        <f t="shared" si="19"/>
        <v>511.03</v>
      </c>
      <c r="L51" s="14">
        <f t="shared" si="20"/>
        <v>56.162196999999999</v>
      </c>
      <c r="M51" s="14">
        <f t="shared" si="21"/>
        <v>567.19219699999996</v>
      </c>
      <c r="N51" s="193">
        <f t="shared" si="22"/>
        <v>15773.614998569998</v>
      </c>
    </row>
    <row r="52" spans="1:14" ht="14.25" customHeight="1" x14ac:dyDescent="0.25">
      <c r="A52" s="91" t="s">
        <v>100</v>
      </c>
      <c r="B52" s="8"/>
      <c r="C52" s="8"/>
      <c r="D52" s="8" t="s">
        <v>101</v>
      </c>
      <c r="E52" s="8"/>
      <c r="F52" s="9"/>
      <c r="G52" s="8"/>
      <c r="H52" s="8"/>
      <c r="I52" s="10">
        <v>40599.879999999997</v>
      </c>
      <c r="J52" s="27">
        <v>2.8979214846538186E-2</v>
      </c>
      <c r="K52" s="8"/>
      <c r="L52" s="8"/>
      <c r="M52" s="8"/>
      <c r="N52" s="198">
        <f>SUM(N53:N57)</f>
        <v>45061.831451780003</v>
      </c>
    </row>
    <row r="53" spans="1:14" ht="51.75" customHeight="1" x14ac:dyDescent="0.25">
      <c r="A53" s="92" t="s">
        <v>655</v>
      </c>
      <c r="B53" s="12" t="s">
        <v>102</v>
      </c>
      <c r="C53" s="11" t="s">
        <v>26</v>
      </c>
      <c r="D53" s="11" t="s">
        <v>103</v>
      </c>
      <c r="E53" s="13" t="s">
        <v>24</v>
      </c>
      <c r="F53" s="12">
        <v>319.27</v>
      </c>
      <c r="G53" s="14">
        <v>33.28</v>
      </c>
      <c r="H53" s="14">
        <v>40.75</v>
      </c>
      <c r="I53" s="14">
        <v>13010.25</v>
      </c>
      <c r="J53" s="28">
        <v>9.2864025695931478E-3</v>
      </c>
      <c r="K53" s="14">
        <f t="shared" ref="K53:K57" si="23">H53</f>
        <v>40.75</v>
      </c>
      <c r="L53" s="14">
        <f t="shared" si="20"/>
        <v>4.4784249999999997</v>
      </c>
      <c r="M53" s="14">
        <f t="shared" ref="M53:M57" si="24">K53+L53</f>
        <v>45.228425000000001</v>
      </c>
      <c r="N53" s="193">
        <f t="shared" ref="N53:N57" si="25">F53*M53</f>
        <v>14440.079249749999</v>
      </c>
    </row>
    <row r="54" spans="1:14" ht="39" customHeight="1" x14ac:dyDescent="0.25">
      <c r="A54" s="92" t="s">
        <v>656</v>
      </c>
      <c r="B54" s="12" t="s">
        <v>68</v>
      </c>
      <c r="C54" s="11" t="s">
        <v>26</v>
      </c>
      <c r="D54" s="11" t="s">
        <v>69</v>
      </c>
      <c r="E54" s="13" t="s">
        <v>65</v>
      </c>
      <c r="F54" s="63">
        <v>1063.9100000000001</v>
      </c>
      <c r="G54" s="14">
        <v>9.39</v>
      </c>
      <c r="H54" s="14">
        <v>11.49</v>
      </c>
      <c r="I54" s="14">
        <v>12224.32</v>
      </c>
      <c r="J54" s="28">
        <v>8.7254246966452526E-3</v>
      </c>
      <c r="K54" s="14">
        <f t="shared" si="23"/>
        <v>11.49</v>
      </c>
      <c r="L54" s="14">
        <f t="shared" si="20"/>
        <v>1.262751</v>
      </c>
      <c r="M54" s="14">
        <f t="shared" si="24"/>
        <v>12.752751</v>
      </c>
      <c r="N54" s="193">
        <f t="shared" si="25"/>
        <v>13567.77931641</v>
      </c>
    </row>
    <row r="55" spans="1:14" ht="39" customHeight="1" x14ac:dyDescent="0.25">
      <c r="A55" s="92" t="s">
        <v>657</v>
      </c>
      <c r="B55" s="12" t="s">
        <v>70</v>
      </c>
      <c r="C55" s="11" t="s">
        <v>26</v>
      </c>
      <c r="D55" s="11" t="s">
        <v>71</v>
      </c>
      <c r="E55" s="13" t="s">
        <v>65</v>
      </c>
      <c r="F55" s="63">
        <v>102.27</v>
      </c>
      <c r="G55" s="14">
        <v>7.82</v>
      </c>
      <c r="H55" s="14">
        <v>9.57</v>
      </c>
      <c r="I55" s="14">
        <v>978.72</v>
      </c>
      <c r="J55" s="28">
        <v>6.9858672376873663E-4</v>
      </c>
      <c r="K55" s="14">
        <f t="shared" si="23"/>
        <v>9.57</v>
      </c>
      <c r="L55" s="14">
        <f t="shared" si="20"/>
        <v>1.0517430000000001</v>
      </c>
      <c r="M55" s="14">
        <f t="shared" si="24"/>
        <v>10.621743</v>
      </c>
      <c r="N55" s="193">
        <f t="shared" si="25"/>
        <v>1086.2856566099999</v>
      </c>
    </row>
    <row r="56" spans="1:14" ht="39" customHeight="1" x14ac:dyDescent="0.25">
      <c r="A56" s="92" t="s">
        <v>658</v>
      </c>
      <c r="B56" s="12" t="s">
        <v>72</v>
      </c>
      <c r="C56" s="11" t="s">
        <v>26</v>
      </c>
      <c r="D56" s="11" t="s">
        <v>73</v>
      </c>
      <c r="E56" s="13" t="s">
        <v>65</v>
      </c>
      <c r="F56" s="63">
        <v>404.73</v>
      </c>
      <c r="G56" s="14">
        <v>12.4</v>
      </c>
      <c r="H56" s="14">
        <v>15.18</v>
      </c>
      <c r="I56" s="14">
        <v>6143.8</v>
      </c>
      <c r="J56" s="28">
        <v>4.3852962169878655E-3</v>
      </c>
      <c r="K56" s="14">
        <f t="shared" si="23"/>
        <v>15.18</v>
      </c>
      <c r="L56" s="14">
        <f t="shared" si="20"/>
        <v>1.668282</v>
      </c>
      <c r="M56" s="14">
        <f t="shared" si="24"/>
        <v>16.848282000000001</v>
      </c>
      <c r="N56" s="193">
        <f t="shared" si="25"/>
        <v>6819.0051738600005</v>
      </c>
    </row>
    <row r="57" spans="1:14" ht="14.25" customHeight="1" x14ac:dyDescent="0.25">
      <c r="A57" s="92" t="s">
        <v>659</v>
      </c>
      <c r="B57" s="12" t="s">
        <v>104</v>
      </c>
      <c r="C57" s="11" t="s">
        <v>26</v>
      </c>
      <c r="D57" s="11" t="s">
        <v>105</v>
      </c>
      <c r="E57" s="13" t="s">
        <v>50</v>
      </c>
      <c r="F57" s="63">
        <v>16.149999999999999</v>
      </c>
      <c r="G57" s="14">
        <v>416.75</v>
      </c>
      <c r="H57" s="14">
        <v>510.39</v>
      </c>
      <c r="I57" s="14">
        <v>8242.7900000000009</v>
      </c>
      <c r="J57" s="28">
        <v>5.8835046395431835E-3</v>
      </c>
      <c r="K57" s="14">
        <f t="shared" si="23"/>
        <v>510.39</v>
      </c>
      <c r="L57" s="14">
        <f t="shared" si="20"/>
        <v>56.091860999999994</v>
      </c>
      <c r="M57" s="14">
        <f t="shared" si="24"/>
        <v>566.48186099999998</v>
      </c>
      <c r="N57" s="193">
        <f t="shared" si="25"/>
        <v>9148.6820551499986</v>
      </c>
    </row>
    <row r="58" spans="1:14" ht="14.25" customHeight="1" x14ac:dyDescent="0.25">
      <c r="A58" s="91" t="s">
        <v>106</v>
      </c>
      <c r="B58" s="8"/>
      <c r="C58" s="8"/>
      <c r="D58" s="8" t="s">
        <v>107</v>
      </c>
      <c r="E58" s="8"/>
      <c r="F58" s="9"/>
      <c r="G58" s="8"/>
      <c r="H58" s="8"/>
      <c r="I58" s="10">
        <v>55985.86</v>
      </c>
      <c r="J58" s="27">
        <v>3.9961356174161314E-2</v>
      </c>
      <c r="K58" s="8"/>
      <c r="L58" s="8"/>
      <c r="M58" s="8"/>
      <c r="N58" s="198">
        <f>N59</f>
        <v>62138.712895379998</v>
      </c>
    </row>
    <row r="59" spans="1:14" ht="51.75" customHeight="1" x14ac:dyDescent="0.25">
      <c r="A59" s="92" t="s">
        <v>660</v>
      </c>
      <c r="B59" s="12" t="s">
        <v>108</v>
      </c>
      <c r="C59" s="11" t="s">
        <v>109</v>
      </c>
      <c r="D59" s="11" t="s">
        <v>110</v>
      </c>
      <c r="E59" s="13" t="s">
        <v>111</v>
      </c>
      <c r="F59" s="62">
        <v>647.46</v>
      </c>
      <c r="G59" s="14">
        <v>70.61</v>
      </c>
      <c r="H59" s="14">
        <v>86.47</v>
      </c>
      <c r="I59" s="14">
        <v>55985.86</v>
      </c>
      <c r="J59" s="28">
        <v>3.9961356174161314E-2</v>
      </c>
      <c r="K59" s="14">
        <f t="shared" ref="K59" si="26">H59</f>
        <v>86.47</v>
      </c>
      <c r="L59" s="14">
        <f t="shared" si="20"/>
        <v>9.5030529999999995</v>
      </c>
      <c r="M59" s="14">
        <f t="shared" ref="M59" si="27">K59+L59</f>
        <v>95.973052999999993</v>
      </c>
      <c r="N59" s="193">
        <f t="shared" ref="N59" si="28">F59*M59</f>
        <v>62138.712895379998</v>
      </c>
    </row>
    <row r="60" spans="1:14" ht="14.25" customHeight="1" x14ac:dyDescent="0.25">
      <c r="A60" s="91" t="s">
        <v>112</v>
      </c>
      <c r="B60" s="8"/>
      <c r="C60" s="8"/>
      <c r="D60" s="8" t="s">
        <v>113</v>
      </c>
      <c r="E60" s="8"/>
      <c r="F60" s="9"/>
      <c r="G60" s="8"/>
      <c r="H60" s="8"/>
      <c r="I60" s="10">
        <v>11806.48</v>
      </c>
      <c r="J60" s="27">
        <v>8.4271805852962171E-3</v>
      </c>
      <c r="K60" s="8"/>
      <c r="L60" s="8"/>
      <c r="M60" s="8"/>
      <c r="N60" s="198">
        <f>N61</f>
        <v>13104.012151999999</v>
      </c>
    </row>
    <row r="61" spans="1:14" ht="25.5" customHeight="1" x14ac:dyDescent="0.25">
      <c r="A61" s="92" t="s">
        <v>661</v>
      </c>
      <c r="B61" s="12" t="s">
        <v>114</v>
      </c>
      <c r="C61" s="11" t="s">
        <v>26</v>
      </c>
      <c r="D61" s="11" t="s">
        <v>115</v>
      </c>
      <c r="E61" s="13" t="s">
        <v>116</v>
      </c>
      <c r="F61" s="12">
        <v>232</v>
      </c>
      <c r="G61" s="14">
        <v>41.56</v>
      </c>
      <c r="H61" s="14">
        <v>50.89</v>
      </c>
      <c r="I61" s="14">
        <v>11806.48</v>
      </c>
      <c r="J61" s="28">
        <v>8.4271805852962171E-3</v>
      </c>
      <c r="K61" s="14">
        <f t="shared" ref="K61" si="29">H61</f>
        <v>50.89</v>
      </c>
      <c r="L61" s="14">
        <f t="shared" si="20"/>
        <v>5.5928110000000002</v>
      </c>
      <c r="M61" s="14">
        <f t="shared" ref="M61" si="30">K61+L61</f>
        <v>56.482810999999998</v>
      </c>
      <c r="N61" s="193">
        <f t="shared" ref="N61" si="31">F61*M61</f>
        <v>13104.012151999999</v>
      </c>
    </row>
    <row r="62" spans="1:14" ht="14.25" customHeight="1" x14ac:dyDescent="0.25">
      <c r="A62" s="91" t="s">
        <v>117</v>
      </c>
      <c r="B62" s="8"/>
      <c r="C62" s="8"/>
      <c r="D62" s="8" t="s">
        <v>118</v>
      </c>
      <c r="E62" s="8"/>
      <c r="F62" s="9"/>
      <c r="G62" s="8"/>
      <c r="H62" s="8"/>
      <c r="I62" s="10">
        <v>53575.28</v>
      </c>
      <c r="J62" s="27">
        <v>3.8240742326909348E-2</v>
      </c>
      <c r="K62" s="8"/>
      <c r="L62" s="8"/>
      <c r="M62" s="8"/>
      <c r="N62" s="198">
        <f>SUM(N63:N65)</f>
        <v>59463.218699609999</v>
      </c>
    </row>
    <row r="63" spans="1:14" ht="14.25" customHeight="1" x14ac:dyDescent="0.25">
      <c r="A63" s="92" t="s">
        <v>662</v>
      </c>
      <c r="B63" s="12" t="s">
        <v>119</v>
      </c>
      <c r="C63" s="11" t="s">
        <v>26</v>
      </c>
      <c r="D63" s="11" t="s">
        <v>120</v>
      </c>
      <c r="E63" s="13" t="s">
        <v>24</v>
      </c>
      <c r="F63" s="12">
        <v>914.03</v>
      </c>
      <c r="G63" s="14">
        <v>37.1</v>
      </c>
      <c r="H63" s="14">
        <v>45.43</v>
      </c>
      <c r="I63" s="14">
        <v>41524.379999999997</v>
      </c>
      <c r="J63" s="28">
        <v>2.9639100642398285E-2</v>
      </c>
      <c r="K63" s="14">
        <f t="shared" ref="K63:K65" si="32">H63</f>
        <v>45.43</v>
      </c>
      <c r="L63" s="14">
        <f t="shared" si="20"/>
        <v>4.9927570000000001</v>
      </c>
      <c r="M63" s="14">
        <f t="shared" ref="M63:M65" si="33">K63+L63</f>
        <v>50.422756999999997</v>
      </c>
      <c r="N63" s="193">
        <f t="shared" ref="N63:N65" si="34">F63*M63</f>
        <v>46087.912580709999</v>
      </c>
    </row>
    <row r="64" spans="1:14" ht="25.5" customHeight="1" x14ac:dyDescent="0.25">
      <c r="A64" s="92" t="s">
        <v>663</v>
      </c>
      <c r="B64" s="12" t="s">
        <v>121</v>
      </c>
      <c r="C64" s="11" t="s">
        <v>26</v>
      </c>
      <c r="D64" s="11" t="s">
        <v>122</v>
      </c>
      <c r="E64" s="13" t="s">
        <v>116</v>
      </c>
      <c r="F64" s="12">
        <v>295.3</v>
      </c>
      <c r="G64" s="14">
        <v>17.8</v>
      </c>
      <c r="H64" s="14">
        <v>21.79</v>
      </c>
      <c r="I64" s="14">
        <v>6434.58</v>
      </c>
      <c r="J64" s="28">
        <v>4.5928479657387578E-3</v>
      </c>
      <c r="K64" s="14">
        <f t="shared" si="32"/>
        <v>21.79</v>
      </c>
      <c r="L64" s="14">
        <f t="shared" si="20"/>
        <v>2.3947209999999997</v>
      </c>
      <c r="M64" s="14">
        <f t="shared" si="33"/>
        <v>24.184721</v>
      </c>
      <c r="N64" s="193">
        <f t="shared" si="34"/>
        <v>7141.7481113000003</v>
      </c>
    </row>
    <row r="65" spans="1:14" ht="14.25" customHeight="1" x14ac:dyDescent="0.25">
      <c r="A65" s="92" t="s">
        <v>664</v>
      </c>
      <c r="B65" s="12" t="s">
        <v>123</v>
      </c>
      <c r="C65" s="11" t="s">
        <v>29</v>
      </c>
      <c r="D65" s="11" t="s">
        <v>124</v>
      </c>
      <c r="E65" s="13" t="s">
        <v>24</v>
      </c>
      <c r="F65" s="12">
        <v>12.92</v>
      </c>
      <c r="G65" s="14">
        <v>354.95</v>
      </c>
      <c r="H65" s="14">
        <v>434.7</v>
      </c>
      <c r="I65" s="14">
        <v>5616.32</v>
      </c>
      <c r="J65" s="28">
        <v>4.0087937187723056E-3</v>
      </c>
      <c r="K65" s="14">
        <f t="shared" si="32"/>
        <v>434.7</v>
      </c>
      <c r="L65" s="14">
        <f t="shared" si="20"/>
        <v>47.773530000000001</v>
      </c>
      <c r="M65" s="14">
        <f t="shared" si="33"/>
        <v>482.47352999999998</v>
      </c>
      <c r="N65" s="193">
        <f t="shared" si="34"/>
        <v>6233.5580075999997</v>
      </c>
    </row>
    <row r="66" spans="1:14" ht="14.25" customHeight="1" x14ac:dyDescent="0.25">
      <c r="A66" s="91" t="s">
        <v>125</v>
      </c>
      <c r="B66" s="8"/>
      <c r="C66" s="8"/>
      <c r="D66" s="8" t="s">
        <v>126</v>
      </c>
      <c r="E66" s="8"/>
      <c r="F66" s="9"/>
      <c r="G66" s="8"/>
      <c r="H66" s="8"/>
      <c r="I66" s="10">
        <v>149488.57</v>
      </c>
      <c r="J66" s="27">
        <v>0.10670133476088509</v>
      </c>
      <c r="K66" s="8"/>
      <c r="L66" s="8"/>
      <c r="M66" s="8"/>
      <c r="N66" s="192"/>
    </row>
    <row r="67" spans="1:14" ht="14.25" customHeight="1" x14ac:dyDescent="0.25">
      <c r="A67" s="91" t="s">
        <v>127</v>
      </c>
      <c r="B67" s="8"/>
      <c r="C67" s="8"/>
      <c r="D67" s="8" t="s">
        <v>128</v>
      </c>
      <c r="E67" s="8"/>
      <c r="F67" s="9"/>
      <c r="G67" s="8"/>
      <c r="H67" s="8"/>
      <c r="I67" s="10">
        <v>25618.06</v>
      </c>
      <c r="J67" s="27">
        <v>1.8285553176302642E-2</v>
      </c>
      <c r="K67" s="8"/>
      <c r="L67" s="8"/>
      <c r="M67" s="8"/>
      <c r="N67" s="198">
        <f>SUM(N68:N74)</f>
        <v>28433.484794</v>
      </c>
    </row>
    <row r="68" spans="1:14" ht="64.5" customHeight="1" x14ac:dyDescent="0.25">
      <c r="A68" s="92" t="s">
        <v>665</v>
      </c>
      <c r="B68" s="12" t="s">
        <v>129</v>
      </c>
      <c r="C68" s="11" t="s">
        <v>26</v>
      </c>
      <c r="D68" s="11" t="s">
        <v>130</v>
      </c>
      <c r="E68" s="13" t="s">
        <v>31</v>
      </c>
      <c r="F68" s="12">
        <v>7</v>
      </c>
      <c r="G68" s="14">
        <v>730.3</v>
      </c>
      <c r="H68" s="14">
        <v>894.39</v>
      </c>
      <c r="I68" s="14">
        <v>6260.73</v>
      </c>
      <c r="J68" s="28">
        <v>4.4687580299785871E-3</v>
      </c>
      <c r="K68" s="14">
        <f t="shared" ref="K68:K74" si="35">H68</f>
        <v>894.39</v>
      </c>
      <c r="L68" s="14">
        <f t="shared" ref="L68:L74" si="36">K68*10.99%</f>
        <v>98.293460999999994</v>
      </c>
      <c r="M68" s="14">
        <f t="shared" ref="M68:M74" si="37">K68+L68</f>
        <v>992.68346099999997</v>
      </c>
      <c r="N68" s="193">
        <f t="shared" ref="N68:N74" si="38">F68*M68</f>
        <v>6948.7842270000001</v>
      </c>
    </row>
    <row r="69" spans="1:14" ht="64.5" customHeight="1" x14ac:dyDescent="0.25">
      <c r="A69" s="92" t="s">
        <v>666</v>
      </c>
      <c r="B69" s="12" t="s">
        <v>131</v>
      </c>
      <c r="C69" s="11" t="s">
        <v>26</v>
      </c>
      <c r="D69" s="11" t="s">
        <v>132</v>
      </c>
      <c r="E69" s="13" t="s">
        <v>31</v>
      </c>
      <c r="F69" s="12">
        <v>7</v>
      </c>
      <c r="G69" s="14">
        <v>606.26</v>
      </c>
      <c r="H69" s="14">
        <v>742.48</v>
      </c>
      <c r="I69" s="14">
        <v>5197.3599999999997</v>
      </c>
      <c r="J69" s="28">
        <v>3.7097501784439687E-3</v>
      </c>
      <c r="K69" s="14">
        <f t="shared" si="35"/>
        <v>742.48</v>
      </c>
      <c r="L69" s="14">
        <f t="shared" si="36"/>
        <v>81.598551999999998</v>
      </c>
      <c r="M69" s="14">
        <f t="shared" si="37"/>
        <v>824.07855200000006</v>
      </c>
      <c r="N69" s="193">
        <f t="shared" si="38"/>
        <v>5768.5498640000005</v>
      </c>
    </row>
    <row r="70" spans="1:14" ht="14.25" customHeight="1" x14ac:dyDescent="0.25">
      <c r="A70" s="92" t="s">
        <v>667</v>
      </c>
      <c r="B70" s="12" t="s">
        <v>129</v>
      </c>
      <c r="C70" s="11" t="s">
        <v>26</v>
      </c>
      <c r="D70" s="11" t="s">
        <v>130</v>
      </c>
      <c r="E70" s="13" t="s">
        <v>31</v>
      </c>
      <c r="F70" s="12">
        <v>2</v>
      </c>
      <c r="G70" s="14">
        <v>730.3</v>
      </c>
      <c r="H70" s="14">
        <v>894.39</v>
      </c>
      <c r="I70" s="14">
        <v>1788.78</v>
      </c>
      <c r="J70" s="28">
        <v>1.2767880085653104E-3</v>
      </c>
      <c r="K70" s="14">
        <f t="shared" si="35"/>
        <v>894.39</v>
      </c>
      <c r="L70" s="14">
        <f t="shared" si="36"/>
        <v>98.293460999999994</v>
      </c>
      <c r="M70" s="14">
        <f t="shared" si="37"/>
        <v>992.68346099999997</v>
      </c>
      <c r="N70" s="193">
        <f t="shared" si="38"/>
        <v>1985.3669219999999</v>
      </c>
    </row>
    <row r="71" spans="1:14" ht="14.25" customHeight="1" x14ac:dyDescent="0.25">
      <c r="A71" s="92" t="s">
        <v>668</v>
      </c>
      <c r="B71" s="12" t="s">
        <v>133</v>
      </c>
      <c r="C71" s="11" t="s">
        <v>109</v>
      </c>
      <c r="D71" s="11" t="s">
        <v>134</v>
      </c>
      <c r="E71" s="13" t="s">
        <v>31</v>
      </c>
      <c r="F71" s="12">
        <v>1</v>
      </c>
      <c r="G71" s="14">
        <v>986.59</v>
      </c>
      <c r="H71" s="14">
        <v>1208.27</v>
      </c>
      <c r="I71" s="14">
        <v>1208.27</v>
      </c>
      <c r="J71" s="28">
        <v>8.624339757316203E-4</v>
      </c>
      <c r="K71" s="14">
        <f t="shared" si="35"/>
        <v>1208.27</v>
      </c>
      <c r="L71" s="14">
        <f t="shared" si="36"/>
        <v>132.788873</v>
      </c>
      <c r="M71" s="14">
        <f t="shared" si="37"/>
        <v>1341.0588729999999</v>
      </c>
      <c r="N71" s="193">
        <f t="shared" si="38"/>
        <v>1341.0588729999999</v>
      </c>
    </row>
    <row r="72" spans="1:14" ht="14.25" customHeight="1" x14ac:dyDescent="0.25">
      <c r="A72" s="92" t="s">
        <v>669</v>
      </c>
      <c r="B72" s="12" t="s">
        <v>135</v>
      </c>
      <c r="C72" s="11" t="s">
        <v>26</v>
      </c>
      <c r="D72" s="11" t="s">
        <v>136</v>
      </c>
      <c r="E72" s="13" t="s">
        <v>31</v>
      </c>
      <c r="F72" s="12">
        <v>3</v>
      </c>
      <c r="G72" s="14">
        <v>988.77</v>
      </c>
      <c r="H72" s="14">
        <v>1210.94</v>
      </c>
      <c r="I72" s="14">
        <v>3632.82</v>
      </c>
      <c r="J72" s="28">
        <v>2.593019271948608E-3</v>
      </c>
      <c r="K72" s="14">
        <f t="shared" si="35"/>
        <v>1210.94</v>
      </c>
      <c r="L72" s="14">
        <f t="shared" si="36"/>
        <v>133.08230600000002</v>
      </c>
      <c r="M72" s="14">
        <f t="shared" si="37"/>
        <v>1344.0223060000001</v>
      </c>
      <c r="N72" s="193">
        <f t="shared" si="38"/>
        <v>4032.0669180000004</v>
      </c>
    </row>
    <row r="73" spans="1:14" ht="14.25" customHeight="1" x14ac:dyDescent="0.25">
      <c r="A73" s="92" t="s">
        <v>670</v>
      </c>
      <c r="B73" s="12" t="s">
        <v>137</v>
      </c>
      <c r="C73" s="11" t="s">
        <v>109</v>
      </c>
      <c r="D73" s="11" t="s">
        <v>138</v>
      </c>
      <c r="E73" s="13" t="s">
        <v>31</v>
      </c>
      <c r="F73" s="12">
        <v>3</v>
      </c>
      <c r="G73" s="14">
        <v>1125.06</v>
      </c>
      <c r="H73" s="14">
        <v>1377.86</v>
      </c>
      <c r="I73" s="14">
        <v>4133.58</v>
      </c>
      <c r="J73" s="28">
        <v>2.9504496788008566E-3</v>
      </c>
      <c r="K73" s="14">
        <f t="shared" si="35"/>
        <v>1377.86</v>
      </c>
      <c r="L73" s="14">
        <f t="shared" si="36"/>
        <v>151.42681399999998</v>
      </c>
      <c r="M73" s="14">
        <f t="shared" si="37"/>
        <v>1529.2868139999998</v>
      </c>
      <c r="N73" s="193">
        <f t="shared" si="38"/>
        <v>4587.8604419999992</v>
      </c>
    </row>
    <row r="74" spans="1:14" ht="39" customHeight="1" x14ac:dyDescent="0.25">
      <c r="A74" s="92" t="s">
        <v>671</v>
      </c>
      <c r="B74" s="12" t="s">
        <v>139</v>
      </c>
      <c r="C74" s="11" t="s">
        <v>109</v>
      </c>
      <c r="D74" s="11" t="s">
        <v>140</v>
      </c>
      <c r="E74" s="13" t="s">
        <v>31</v>
      </c>
      <c r="F74" s="12">
        <v>2</v>
      </c>
      <c r="G74" s="14">
        <v>1386.68</v>
      </c>
      <c r="H74" s="14">
        <v>1698.26</v>
      </c>
      <c r="I74" s="14">
        <v>3396.52</v>
      </c>
      <c r="J74" s="28">
        <v>2.4243540328336903E-3</v>
      </c>
      <c r="K74" s="14">
        <f t="shared" si="35"/>
        <v>1698.26</v>
      </c>
      <c r="L74" s="14">
        <f t="shared" si="36"/>
        <v>186.63877399999998</v>
      </c>
      <c r="M74" s="14">
        <f t="shared" si="37"/>
        <v>1884.898774</v>
      </c>
      <c r="N74" s="193">
        <f t="shared" si="38"/>
        <v>3769.797548</v>
      </c>
    </row>
    <row r="75" spans="1:14" ht="14.25" customHeight="1" x14ac:dyDescent="0.25">
      <c r="A75" s="91" t="s">
        <v>141</v>
      </c>
      <c r="B75" s="8"/>
      <c r="C75" s="8"/>
      <c r="D75" s="8" t="s">
        <v>142</v>
      </c>
      <c r="E75" s="8"/>
      <c r="F75" s="9"/>
      <c r="G75" s="8"/>
      <c r="H75" s="8"/>
      <c r="I75" s="10">
        <v>996.45</v>
      </c>
      <c r="J75" s="27">
        <v>7.1124197002141328E-4</v>
      </c>
      <c r="K75" s="8"/>
      <c r="L75" s="8"/>
      <c r="M75" s="8"/>
      <c r="N75" s="198">
        <f>SUM(N76:N78)</f>
        <v>1105.9665143999998</v>
      </c>
    </row>
    <row r="76" spans="1:14" ht="25.5" customHeight="1" x14ac:dyDescent="0.25">
      <c r="A76" s="92" t="s">
        <v>672</v>
      </c>
      <c r="B76" s="12" t="s">
        <v>143</v>
      </c>
      <c r="C76" s="11" t="s">
        <v>26</v>
      </c>
      <c r="D76" s="11" t="s">
        <v>144</v>
      </c>
      <c r="E76" s="13" t="s">
        <v>31</v>
      </c>
      <c r="F76" s="12">
        <v>2</v>
      </c>
      <c r="G76" s="14">
        <v>227.31</v>
      </c>
      <c r="H76" s="14">
        <v>278.38</v>
      </c>
      <c r="I76" s="14">
        <v>556.76</v>
      </c>
      <c r="J76" s="28">
        <v>3.9740185581727336E-4</v>
      </c>
      <c r="K76" s="14">
        <f t="shared" ref="K76:K78" si="39">H76</f>
        <v>278.38</v>
      </c>
      <c r="L76" s="14">
        <f t="shared" ref="L76:L78" si="40">K76*10.99%</f>
        <v>30.593961999999998</v>
      </c>
      <c r="M76" s="14">
        <f t="shared" ref="M76:M78" si="41">K76+L76</f>
        <v>308.97396199999997</v>
      </c>
      <c r="N76" s="193">
        <f t="shared" ref="N76:N78" si="42">F76*M76</f>
        <v>617.94792399999994</v>
      </c>
    </row>
    <row r="77" spans="1:14" ht="14.25" customHeight="1" x14ac:dyDescent="0.25">
      <c r="A77" s="92" t="s">
        <v>673</v>
      </c>
      <c r="B77" s="12" t="s">
        <v>145</v>
      </c>
      <c r="C77" s="11" t="s">
        <v>109</v>
      </c>
      <c r="D77" s="11" t="s">
        <v>146</v>
      </c>
      <c r="E77" s="13" t="s">
        <v>31</v>
      </c>
      <c r="F77" s="12">
        <v>5</v>
      </c>
      <c r="G77" s="14">
        <v>39.26</v>
      </c>
      <c r="H77" s="14">
        <v>48.08</v>
      </c>
      <c r="I77" s="14">
        <v>240.4</v>
      </c>
      <c r="J77" s="28">
        <v>1.7159172019985723E-4</v>
      </c>
      <c r="K77" s="14">
        <f t="shared" si="39"/>
        <v>48.08</v>
      </c>
      <c r="L77" s="14">
        <f t="shared" si="40"/>
        <v>5.2839919999999996</v>
      </c>
      <c r="M77" s="14">
        <f t="shared" si="41"/>
        <v>53.363991999999996</v>
      </c>
      <c r="N77" s="193">
        <f t="shared" si="42"/>
        <v>266.81995999999998</v>
      </c>
    </row>
    <row r="78" spans="1:14" ht="25.5" customHeight="1" x14ac:dyDescent="0.25">
      <c r="A78" s="92" t="s">
        <v>674</v>
      </c>
      <c r="B78" s="12" t="s">
        <v>147</v>
      </c>
      <c r="C78" s="11" t="s">
        <v>109</v>
      </c>
      <c r="D78" s="11" t="s">
        <v>148</v>
      </c>
      <c r="E78" s="13" t="s">
        <v>111</v>
      </c>
      <c r="F78" s="12">
        <v>2.88</v>
      </c>
      <c r="G78" s="14">
        <v>56.51</v>
      </c>
      <c r="H78" s="14">
        <v>69.2</v>
      </c>
      <c r="I78" s="14">
        <v>199.29</v>
      </c>
      <c r="J78" s="28">
        <v>1.4224839400428266E-4</v>
      </c>
      <c r="K78" s="14">
        <f t="shared" si="39"/>
        <v>69.2</v>
      </c>
      <c r="L78" s="14">
        <f t="shared" si="40"/>
        <v>7.6050800000000001</v>
      </c>
      <c r="M78" s="14">
        <f t="shared" si="41"/>
        <v>76.805080000000004</v>
      </c>
      <c r="N78" s="193">
        <f t="shared" si="42"/>
        <v>221.19863040000001</v>
      </c>
    </row>
    <row r="79" spans="1:14" ht="14.25" customHeight="1" x14ac:dyDescent="0.25">
      <c r="A79" s="91" t="s">
        <v>149</v>
      </c>
      <c r="B79" s="8"/>
      <c r="C79" s="8"/>
      <c r="D79" s="8" t="s">
        <v>150</v>
      </c>
      <c r="E79" s="8"/>
      <c r="F79" s="9"/>
      <c r="G79" s="8"/>
      <c r="H79" s="8"/>
      <c r="I79" s="10">
        <v>461.96</v>
      </c>
      <c r="J79" s="27">
        <v>3.2973590292648109E-4</v>
      </c>
      <c r="K79" s="8"/>
      <c r="L79" s="8"/>
      <c r="M79" s="8"/>
      <c r="N79" s="198">
        <f>SUM(N80)</f>
        <v>512.73650736000002</v>
      </c>
    </row>
    <row r="80" spans="1:14" ht="14.25" customHeight="1" x14ac:dyDescent="0.25">
      <c r="A80" s="92" t="s">
        <v>675</v>
      </c>
      <c r="B80" s="12" t="s">
        <v>151</v>
      </c>
      <c r="C80" s="11" t="s">
        <v>22</v>
      </c>
      <c r="D80" s="11" t="s">
        <v>152</v>
      </c>
      <c r="E80" s="13" t="s">
        <v>24</v>
      </c>
      <c r="F80" s="12">
        <v>1.68</v>
      </c>
      <c r="G80" s="14">
        <v>224.53</v>
      </c>
      <c r="H80" s="14">
        <v>274.98</v>
      </c>
      <c r="I80" s="14">
        <v>461.96</v>
      </c>
      <c r="J80" s="28">
        <v>3.2973590292648109E-4</v>
      </c>
      <c r="K80" s="14">
        <f t="shared" ref="K80" si="43">H80</f>
        <v>274.98</v>
      </c>
      <c r="L80" s="14">
        <f t="shared" ref="L80" si="44">K80*10.99%</f>
        <v>30.220302</v>
      </c>
      <c r="M80" s="14">
        <f t="shared" ref="M80" si="45">K80+L80</f>
        <v>305.20030200000002</v>
      </c>
      <c r="N80" s="193">
        <f t="shared" ref="N80" si="46">F80*M80</f>
        <v>512.73650736000002</v>
      </c>
    </row>
    <row r="81" spans="1:14" ht="14.25" customHeight="1" x14ac:dyDescent="0.25">
      <c r="A81" s="91" t="s">
        <v>153</v>
      </c>
      <c r="B81" s="8"/>
      <c r="C81" s="8"/>
      <c r="D81" s="8" t="s">
        <v>154</v>
      </c>
      <c r="E81" s="8"/>
      <c r="F81" s="9"/>
      <c r="G81" s="8"/>
      <c r="H81" s="8"/>
      <c r="I81" s="10">
        <v>120131.96</v>
      </c>
      <c r="J81" s="27">
        <v>8.5747294789436115E-2</v>
      </c>
      <c r="K81" s="8"/>
      <c r="L81" s="8"/>
      <c r="M81" s="8"/>
      <c r="N81" s="198">
        <f>SUM(N82:N92)</f>
        <v>133334.51345940001</v>
      </c>
    </row>
    <row r="82" spans="1:14" ht="39" customHeight="1" x14ac:dyDescent="0.25">
      <c r="A82" s="92" t="s">
        <v>676</v>
      </c>
      <c r="B82" s="12" t="s">
        <v>155</v>
      </c>
      <c r="C82" s="11" t="s">
        <v>26</v>
      </c>
      <c r="D82" s="11" t="s">
        <v>156</v>
      </c>
      <c r="E82" s="13" t="s">
        <v>24</v>
      </c>
      <c r="F82" s="12">
        <v>0.24</v>
      </c>
      <c r="G82" s="14">
        <v>1057.71</v>
      </c>
      <c r="H82" s="14">
        <v>1295.3699999999999</v>
      </c>
      <c r="I82" s="14">
        <v>310.88</v>
      </c>
      <c r="J82" s="28">
        <v>2.2189864382583869E-4</v>
      </c>
      <c r="K82" s="14">
        <f t="shared" ref="K82:K92" si="47">H82</f>
        <v>1295.3699999999999</v>
      </c>
      <c r="L82" s="14">
        <f t="shared" ref="L82:L92" si="48">K82*10.99%</f>
        <v>142.36116299999998</v>
      </c>
      <c r="M82" s="14">
        <f t="shared" ref="M82:M92" si="49">K82+L82</f>
        <v>1437.7311629999999</v>
      </c>
      <c r="N82" s="193">
        <f t="shared" ref="N82:N92" si="50">F82*M82</f>
        <v>345.05547911999997</v>
      </c>
    </row>
    <row r="83" spans="1:14" ht="39" customHeight="1" x14ac:dyDescent="0.25">
      <c r="A83" s="92" t="s">
        <v>677</v>
      </c>
      <c r="B83" s="12" t="s">
        <v>155</v>
      </c>
      <c r="C83" s="11" t="s">
        <v>26</v>
      </c>
      <c r="D83" s="11" t="s">
        <v>156</v>
      </c>
      <c r="E83" s="13" t="s">
        <v>24</v>
      </c>
      <c r="F83" s="12">
        <v>1.08</v>
      </c>
      <c r="G83" s="14">
        <v>1057.71</v>
      </c>
      <c r="H83" s="14">
        <v>1295.3699999999999</v>
      </c>
      <c r="I83" s="14">
        <v>1398.99</v>
      </c>
      <c r="J83" s="28">
        <v>9.9856531049250527E-4</v>
      </c>
      <c r="K83" s="14">
        <f t="shared" si="47"/>
        <v>1295.3699999999999</v>
      </c>
      <c r="L83" s="14">
        <f t="shared" si="48"/>
        <v>142.36116299999998</v>
      </c>
      <c r="M83" s="14">
        <f t="shared" si="49"/>
        <v>1437.7311629999999</v>
      </c>
      <c r="N83" s="193">
        <f t="shared" si="50"/>
        <v>1552.74965604</v>
      </c>
    </row>
    <row r="84" spans="1:14" ht="39" customHeight="1" x14ac:dyDescent="0.25">
      <c r="A84" s="92" t="s">
        <v>678</v>
      </c>
      <c r="B84" s="12" t="s">
        <v>155</v>
      </c>
      <c r="C84" s="11" t="s">
        <v>26</v>
      </c>
      <c r="D84" s="11" t="s">
        <v>156</v>
      </c>
      <c r="E84" s="13" t="s">
        <v>24</v>
      </c>
      <c r="F84" s="12">
        <v>3.2</v>
      </c>
      <c r="G84" s="14">
        <v>1057.71</v>
      </c>
      <c r="H84" s="14">
        <v>1295.3699999999999</v>
      </c>
      <c r="I84" s="14">
        <v>4145.18</v>
      </c>
      <c r="J84" s="28">
        <v>2.9587294789436116E-3</v>
      </c>
      <c r="K84" s="14">
        <f t="shared" si="47"/>
        <v>1295.3699999999999</v>
      </c>
      <c r="L84" s="14">
        <f t="shared" si="48"/>
        <v>142.36116299999998</v>
      </c>
      <c r="M84" s="14">
        <f t="shared" si="49"/>
        <v>1437.7311629999999</v>
      </c>
      <c r="N84" s="193">
        <f t="shared" si="50"/>
        <v>4600.7397215999999</v>
      </c>
    </row>
    <row r="85" spans="1:14" ht="51.75" customHeight="1" x14ac:dyDescent="0.25">
      <c r="A85" s="92" t="s">
        <v>679</v>
      </c>
      <c r="B85" s="12" t="s">
        <v>157</v>
      </c>
      <c r="C85" s="11" t="s">
        <v>26</v>
      </c>
      <c r="D85" s="11" t="s">
        <v>158</v>
      </c>
      <c r="E85" s="13" t="s">
        <v>24</v>
      </c>
      <c r="F85" s="12">
        <v>0.6</v>
      </c>
      <c r="G85" s="14">
        <v>562.35</v>
      </c>
      <c r="H85" s="14">
        <v>688.71</v>
      </c>
      <c r="I85" s="14">
        <v>413.22</v>
      </c>
      <c r="J85" s="28">
        <v>2.9494646680942182E-4</v>
      </c>
      <c r="K85" s="14">
        <f t="shared" si="47"/>
        <v>688.71</v>
      </c>
      <c r="L85" s="14">
        <f t="shared" si="48"/>
        <v>75.689228999999997</v>
      </c>
      <c r="M85" s="14">
        <f t="shared" si="49"/>
        <v>764.39922899999999</v>
      </c>
      <c r="N85" s="193">
        <f t="shared" si="50"/>
        <v>458.63953739999999</v>
      </c>
    </row>
    <row r="86" spans="1:14" ht="51.75" customHeight="1" x14ac:dyDescent="0.25">
      <c r="A86" s="92" t="s">
        <v>680</v>
      </c>
      <c r="B86" s="12" t="s">
        <v>157</v>
      </c>
      <c r="C86" s="11" t="s">
        <v>26</v>
      </c>
      <c r="D86" s="11" t="s">
        <v>158</v>
      </c>
      <c r="E86" s="13" t="s">
        <v>24</v>
      </c>
      <c r="F86" s="12">
        <v>6</v>
      </c>
      <c r="G86" s="14">
        <v>562.35</v>
      </c>
      <c r="H86" s="14">
        <v>688.71</v>
      </c>
      <c r="I86" s="14">
        <v>4132.26</v>
      </c>
      <c r="J86" s="28">
        <v>2.9495074946466809E-3</v>
      </c>
      <c r="K86" s="14">
        <f t="shared" si="47"/>
        <v>688.71</v>
      </c>
      <c r="L86" s="14">
        <f t="shared" si="48"/>
        <v>75.689228999999997</v>
      </c>
      <c r="M86" s="14">
        <f t="shared" si="49"/>
        <v>764.39922899999999</v>
      </c>
      <c r="N86" s="193">
        <f t="shared" si="50"/>
        <v>4586.3953739999997</v>
      </c>
    </row>
    <row r="87" spans="1:14" ht="39" customHeight="1" x14ac:dyDescent="0.25">
      <c r="A87" s="92" t="s">
        <v>681</v>
      </c>
      <c r="B87" s="12" t="s">
        <v>155</v>
      </c>
      <c r="C87" s="11" t="s">
        <v>26</v>
      </c>
      <c r="D87" s="11" t="s">
        <v>156</v>
      </c>
      <c r="E87" s="13" t="s">
        <v>24</v>
      </c>
      <c r="F87" s="12">
        <v>3.3</v>
      </c>
      <c r="G87" s="14">
        <v>1057.71</v>
      </c>
      <c r="H87" s="14">
        <v>1295.3699999999999</v>
      </c>
      <c r="I87" s="14">
        <v>4274.72</v>
      </c>
      <c r="J87" s="28">
        <v>3.0511920057102069E-3</v>
      </c>
      <c r="K87" s="14">
        <f t="shared" si="47"/>
        <v>1295.3699999999999</v>
      </c>
      <c r="L87" s="14">
        <f t="shared" si="48"/>
        <v>142.36116299999998</v>
      </c>
      <c r="M87" s="14">
        <f t="shared" si="49"/>
        <v>1437.7311629999999</v>
      </c>
      <c r="N87" s="193">
        <f t="shared" si="50"/>
        <v>4744.5128378999998</v>
      </c>
    </row>
    <row r="88" spans="1:14" ht="39" customHeight="1" x14ac:dyDescent="0.25">
      <c r="A88" s="92" t="s">
        <v>682</v>
      </c>
      <c r="B88" s="12" t="s">
        <v>155</v>
      </c>
      <c r="C88" s="11" t="s">
        <v>26</v>
      </c>
      <c r="D88" s="11" t="s">
        <v>156</v>
      </c>
      <c r="E88" s="13" t="s">
        <v>24</v>
      </c>
      <c r="F88" s="12">
        <v>8.8000000000000007</v>
      </c>
      <c r="G88" s="14">
        <v>1057.71</v>
      </c>
      <c r="H88" s="14">
        <v>1295.3699999999999</v>
      </c>
      <c r="I88" s="14">
        <v>11399.25</v>
      </c>
      <c r="J88" s="28">
        <v>8.1365096359743046E-3</v>
      </c>
      <c r="K88" s="14">
        <f t="shared" si="47"/>
        <v>1295.3699999999999</v>
      </c>
      <c r="L88" s="14">
        <f t="shared" si="48"/>
        <v>142.36116299999998</v>
      </c>
      <c r="M88" s="14">
        <f t="shared" si="49"/>
        <v>1437.7311629999999</v>
      </c>
      <c r="N88" s="193">
        <f t="shared" si="50"/>
        <v>12652.0342344</v>
      </c>
    </row>
    <row r="89" spans="1:14" ht="39" customHeight="1" x14ac:dyDescent="0.25">
      <c r="A89" s="92" t="s">
        <v>683</v>
      </c>
      <c r="B89" s="12" t="s">
        <v>155</v>
      </c>
      <c r="C89" s="11" t="s">
        <v>26</v>
      </c>
      <c r="D89" s="11" t="s">
        <v>156</v>
      </c>
      <c r="E89" s="13" t="s">
        <v>24</v>
      </c>
      <c r="F89" s="12">
        <v>67.760000000000005</v>
      </c>
      <c r="G89" s="14">
        <v>1057.71</v>
      </c>
      <c r="H89" s="14">
        <v>1295.3699999999999</v>
      </c>
      <c r="I89" s="14">
        <v>87774.27</v>
      </c>
      <c r="J89" s="28">
        <v>6.2651156316916493E-2</v>
      </c>
      <c r="K89" s="14">
        <f t="shared" si="47"/>
        <v>1295.3699999999999</v>
      </c>
      <c r="L89" s="14">
        <f t="shared" si="48"/>
        <v>142.36116299999998</v>
      </c>
      <c r="M89" s="14">
        <f t="shared" si="49"/>
        <v>1437.7311629999999</v>
      </c>
      <c r="N89" s="193">
        <f t="shared" si="50"/>
        <v>97420.663604879999</v>
      </c>
    </row>
    <row r="90" spans="1:14" ht="14.25" customHeight="1" x14ac:dyDescent="0.25">
      <c r="A90" s="92" t="s">
        <v>684</v>
      </c>
      <c r="B90" s="12" t="s">
        <v>159</v>
      </c>
      <c r="C90" s="11" t="s">
        <v>29</v>
      </c>
      <c r="D90" s="11" t="s">
        <v>160</v>
      </c>
      <c r="E90" s="13" t="s">
        <v>24</v>
      </c>
      <c r="F90" s="12">
        <v>6.48</v>
      </c>
      <c r="G90" s="14">
        <v>395.17</v>
      </c>
      <c r="H90" s="14">
        <v>483.96</v>
      </c>
      <c r="I90" s="14">
        <v>3136.06</v>
      </c>
      <c r="J90" s="28">
        <v>2.2384439685938615E-3</v>
      </c>
      <c r="K90" s="14">
        <f t="shared" si="47"/>
        <v>483.96</v>
      </c>
      <c r="L90" s="14">
        <f t="shared" si="48"/>
        <v>53.187203999999994</v>
      </c>
      <c r="M90" s="14">
        <f t="shared" si="49"/>
        <v>537.14720399999999</v>
      </c>
      <c r="N90" s="193">
        <f t="shared" si="50"/>
        <v>3480.7138819199999</v>
      </c>
    </row>
    <row r="91" spans="1:14" ht="39" customHeight="1" x14ac:dyDescent="0.25">
      <c r="A91" s="92" t="s">
        <v>685</v>
      </c>
      <c r="B91" s="12" t="s">
        <v>161</v>
      </c>
      <c r="C91" s="11" t="s">
        <v>26</v>
      </c>
      <c r="D91" s="11" t="s">
        <v>162</v>
      </c>
      <c r="E91" s="13" t="s">
        <v>24</v>
      </c>
      <c r="F91" s="12">
        <v>1.98</v>
      </c>
      <c r="G91" s="14">
        <v>1199.05</v>
      </c>
      <c r="H91" s="14">
        <v>1468.47</v>
      </c>
      <c r="I91" s="14">
        <v>2907.57</v>
      </c>
      <c r="J91" s="28">
        <v>2.075353319057816E-3</v>
      </c>
      <c r="K91" s="14">
        <f t="shared" si="47"/>
        <v>1468.47</v>
      </c>
      <c r="L91" s="14">
        <f t="shared" si="48"/>
        <v>161.38485299999999</v>
      </c>
      <c r="M91" s="14">
        <f t="shared" si="49"/>
        <v>1629.854853</v>
      </c>
      <c r="N91" s="193">
        <f t="shared" si="50"/>
        <v>3227.11260894</v>
      </c>
    </row>
    <row r="92" spans="1:14" ht="27.75" customHeight="1" x14ac:dyDescent="0.25">
      <c r="A92" s="92" t="s">
        <v>686</v>
      </c>
      <c r="B92" s="12" t="s">
        <v>163</v>
      </c>
      <c r="C92" s="11" t="s">
        <v>22</v>
      </c>
      <c r="D92" s="11" t="s">
        <v>164</v>
      </c>
      <c r="E92" s="13" t="s">
        <v>24</v>
      </c>
      <c r="F92" s="12">
        <v>4.2</v>
      </c>
      <c r="G92" s="14">
        <v>46.58</v>
      </c>
      <c r="H92" s="14">
        <v>57.04</v>
      </c>
      <c r="I92" s="14">
        <v>239.56</v>
      </c>
      <c r="J92" s="28">
        <v>1.7099214846538188E-4</v>
      </c>
      <c r="K92" s="14">
        <f t="shared" si="47"/>
        <v>57.04</v>
      </c>
      <c r="L92" s="14">
        <f t="shared" si="48"/>
        <v>6.2686959999999994</v>
      </c>
      <c r="M92" s="14">
        <f t="shared" si="49"/>
        <v>63.308695999999998</v>
      </c>
      <c r="N92" s="193">
        <f t="shared" si="50"/>
        <v>265.89652319999999</v>
      </c>
    </row>
    <row r="93" spans="1:14" ht="24" customHeight="1" x14ac:dyDescent="0.25">
      <c r="A93" s="91" t="s">
        <v>165</v>
      </c>
      <c r="B93" s="8"/>
      <c r="C93" s="8"/>
      <c r="D93" s="8" t="s">
        <v>166</v>
      </c>
      <c r="E93" s="8"/>
      <c r="F93" s="9"/>
      <c r="G93" s="8"/>
      <c r="H93" s="8"/>
      <c r="I93" s="10">
        <v>2280.14</v>
      </c>
      <c r="J93" s="27">
        <v>1.6275089221984298E-3</v>
      </c>
      <c r="K93" s="8"/>
      <c r="L93" s="8"/>
      <c r="M93" s="8"/>
      <c r="N93" s="198">
        <f>SUM(N94:N95)</f>
        <v>2530.7389289600005</v>
      </c>
    </row>
    <row r="94" spans="1:14" ht="14.25" customHeight="1" x14ac:dyDescent="0.25">
      <c r="A94" s="92" t="s">
        <v>687</v>
      </c>
      <c r="B94" s="12" t="s">
        <v>167</v>
      </c>
      <c r="C94" s="11" t="s">
        <v>29</v>
      </c>
      <c r="D94" s="11" t="s">
        <v>168</v>
      </c>
      <c r="E94" s="13" t="s">
        <v>24</v>
      </c>
      <c r="F94" s="12">
        <v>1.98</v>
      </c>
      <c r="G94" s="14">
        <v>196.85</v>
      </c>
      <c r="H94" s="14">
        <v>241.08</v>
      </c>
      <c r="I94" s="14">
        <v>477.33</v>
      </c>
      <c r="J94" s="28">
        <v>3.4070663811563171E-4</v>
      </c>
      <c r="K94" s="14">
        <f t="shared" ref="K94:K95" si="51">H94</f>
        <v>241.08</v>
      </c>
      <c r="L94" s="14">
        <f t="shared" ref="L94:L95" si="52">K94*10.99%</f>
        <v>26.494692000000001</v>
      </c>
      <c r="M94" s="14">
        <f t="shared" ref="M94:M95" si="53">K94+L94</f>
        <v>267.57469200000003</v>
      </c>
      <c r="N94" s="193">
        <f t="shared" ref="N94:N95" si="54">F94*M94</f>
        <v>529.79789016000007</v>
      </c>
    </row>
    <row r="95" spans="1:14" ht="25.5" customHeight="1" x14ac:dyDescent="0.25">
      <c r="A95" s="92" t="s">
        <v>688</v>
      </c>
      <c r="B95" s="12" t="s">
        <v>169</v>
      </c>
      <c r="C95" s="11" t="s">
        <v>29</v>
      </c>
      <c r="D95" s="11" t="s">
        <v>170</v>
      </c>
      <c r="E95" s="13" t="s">
        <v>24</v>
      </c>
      <c r="F95" s="12">
        <v>4.4000000000000004</v>
      </c>
      <c r="G95" s="14">
        <v>334.56</v>
      </c>
      <c r="H95" s="14">
        <v>409.73</v>
      </c>
      <c r="I95" s="14">
        <v>1802.81</v>
      </c>
      <c r="J95" s="28">
        <v>1.286802284082798E-3</v>
      </c>
      <c r="K95" s="14">
        <f t="shared" si="51"/>
        <v>409.73</v>
      </c>
      <c r="L95" s="14">
        <f t="shared" si="52"/>
        <v>45.029327000000002</v>
      </c>
      <c r="M95" s="14">
        <f t="shared" si="53"/>
        <v>454.75932700000004</v>
      </c>
      <c r="N95" s="193">
        <f t="shared" si="54"/>
        <v>2000.9410388000003</v>
      </c>
    </row>
    <row r="96" spans="1:14" ht="14.25" customHeight="1" x14ac:dyDescent="0.25">
      <c r="A96" s="91" t="s">
        <v>171</v>
      </c>
      <c r="B96" s="8"/>
      <c r="C96" s="8"/>
      <c r="D96" s="8" t="s">
        <v>172</v>
      </c>
      <c r="E96" s="8"/>
      <c r="F96" s="9"/>
      <c r="G96" s="8"/>
      <c r="H96" s="8"/>
      <c r="I96" s="10">
        <v>219581.14</v>
      </c>
      <c r="J96" s="27">
        <v>0.15673172019985723</v>
      </c>
      <c r="K96" s="8"/>
      <c r="L96" s="8"/>
      <c r="M96" s="8"/>
      <c r="N96" s="198">
        <f>SUM(N97:N104)</f>
        <v>243713.14258082001</v>
      </c>
    </row>
    <row r="97" spans="1:14" ht="39" customHeight="1" x14ac:dyDescent="0.25">
      <c r="A97" s="92" t="s">
        <v>689</v>
      </c>
      <c r="B97" s="12" t="s">
        <v>173</v>
      </c>
      <c r="C97" s="11" t="s">
        <v>26</v>
      </c>
      <c r="D97" s="11" t="s">
        <v>174</v>
      </c>
      <c r="E97" s="13" t="s">
        <v>31</v>
      </c>
      <c r="F97" s="12">
        <v>23</v>
      </c>
      <c r="G97" s="14">
        <v>1418.51</v>
      </c>
      <c r="H97" s="14">
        <v>1737.24</v>
      </c>
      <c r="I97" s="14">
        <v>39956.519999999997</v>
      </c>
      <c r="J97" s="28">
        <v>2.852E-2</v>
      </c>
      <c r="K97" s="14">
        <f t="shared" ref="K97:K104" si="55">H97</f>
        <v>1737.24</v>
      </c>
      <c r="L97" s="14">
        <f t="shared" ref="L97:L104" si="56">K97*10.99%</f>
        <v>190.922676</v>
      </c>
      <c r="M97" s="14">
        <f t="shared" ref="M97:M104" si="57">K97+L97</f>
        <v>1928.1626759999999</v>
      </c>
      <c r="N97" s="193">
        <f t="shared" ref="N97:N104" si="58">F97*M97</f>
        <v>44347.741547999998</v>
      </c>
    </row>
    <row r="98" spans="1:14" ht="39" customHeight="1" x14ac:dyDescent="0.25">
      <c r="A98" s="92" t="s">
        <v>690</v>
      </c>
      <c r="B98" s="12" t="s">
        <v>175</v>
      </c>
      <c r="C98" s="11" t="s">
        <v>26</v>
      </c>
      <c r="D98" s="11" t="s">
        <v>176</v>
      </c>
      <c r="E98" s="13" t="s">
        <v>31</v>
      </c>
      <c r="F98" s="12">
        <v>10</v>
      </c>
      <c r="G98" s="14">
        <v>1151.54</v>
      </c>
      <c r="H98" s="14">
        <v>1410.29</v>
      </c>
      <c r="I98" s="14">
        <v>14102.9</v>
      </c>
      <c r="J98" s="28">
        <v>1.0066309778729479E-2</v>
      </c>
      <c r="K98" s="14">
        <f t="shared" si="55"/>
        <v>1410.29</v>
      </c>
      <c r="L98" s="14">
        <f t="shared" si="56"/>
        <v>154.990871</v>
      </c>
      <c r="M98" s="14">
        <f t="shared" si="57"/>
        <v>1565.2808709999999</v>
      </c>
      <c r="N98" s="193">
        <f t="shared" si="58"/>
        <v>15652.808709999999</v>
      </c>
    </row>
    <row r="99" spans="1:14" ht="39" customHeight="1" x14ac:dyDescent="0.25">
      <c r="A99" s="92" t="s">
        <v>691</v>
      </c>
      <c r="B99" s="12" t="s">
        <v>177</v>
      </c>
      <c r="C99" s="11" t="s">
        <v>26</v>
      </c>
      <c r="D99" s="11" t="s">
        <v>178</v>
      </c>
      <c r="E99" s="13" t="s">
        <v>31</v>
      </c>
      <c r="F99" s="12">
        <v>6</v>
      </c>
      <c r="G99" s="14">
        <v>916.15</v>
      </c>
      <c r="H99" s="14">
        <v>1122</v>
      </c>
      <c r="I99" s="14">
        <v>6732</v>
      </c>
      <c r="J99" s="28">
        <v>4.8051391862955033E-3</v>
      </c>
      <c r="K99" s="14">
        <f t="shared" si="55"/>
        <v>1122</v>
      </c>
      <c r="L99" s="14">
        <f t="shared" si="56"/>
        <v>123.3078</v>
      </c>
      <c r="M99" s="14">
        <f t="shared" si="57"/>
        <v>1245.3078</v>
      </c>
      <c r="N99" s="193">
        <f t="shared" si="58"/>
        <v>7471.8468000000003</v>
      </c>
    </row>
    <row r="100" spans="1:14" ht="39" customHeight="1" x14ac:dyDescent="0.25">
      <c r="A100" s="92" t="s">
        <v>692</v>
      </c>
      <c r="B100" s="12" t="s">
        <v>179</v>
      </c>
      <c r="C100" s="11" t="s">
        <v>26</v>
      </c>
      <c r="D100" s="11" t="s">
        <v>180</v>
      </c>
      <c r="E100" s="13" t="s">
        <v>31</v>
      </c>
      <c r="F100" s="12">
        <v>6</v>
      </c>
      <c r="G100" s="14">
        <v>676.62</v>
      </c>
      <c r="H100" s="14">
        <v>828.65</v>
      </c>
      <c r="I100" s="14">
        <v>4971.8999999999996</v>
      </c>
      <c r="J100" s="28">
        <v>3.5488222698072803E-3</v>
      </c>
      <c r="K100" s="14">
        <f t="shared" si="55"/>
        <v>828.65</v>
      </c>
      <c r="L100" s="14">
        <f t="shared" si="56"/>
        <v>91.068635</v>
      </c>
      <c r="M100" s="14">
        <f t="shared" si="57"/>
        <v>919.71863499999995</v>
      </c>
      <c r="N100" s="193">
        <f t="shared" si="58"/>
        <v>5518.3118099999992</v>
      </c>
    </row>
    <row r="101" spans="1:14" ht="51.75" customHeight="1" x14ac:dyDescent="0.25">
      <c r="A101" s="92" t="s">
        <v>693</v>
      </c>
      <c r="B101" s="12" t="s">
        <v>181</v>
      </c>
      <c r="C101" s="11" t="s">
        <v>26</v>
      </c>
      <c r="D101" s="11" t="s">
        <v>182</v>
      </c>
      <c r="E101" s="13" t="s">
        <v>24</v>
      </c>
      <c r="F101" s="12">
        <v>1189.68</v>
      </c>
      <c r="G101" s="14">
        <v>52.52</v>
      </c>
      <c r="H101" s="14">
        <v>64.319999999999993</v>
      </c>
      <c r="I101" s="14">
        <v>76520.210000000006</v>
      </c>
      <c r="J101" s="28">
        <v>5.4618279800142756E-2</v>
      </c>
      <c r="K101" s="14">
        <f t="shared" si="55"/>
        <v>64.319999999999993</v>
      </c>
      <c r="L101" s="14">
        <f t="shared" si="56"/>
        <v>7.0687679999999995</v>
      </c>
      <c r="M101" s="14">
        <f t="shared" si="57"/>
        <v>71.388767999999999</v>
      </c>
      <c r="N101" s="193">
        <f t="shared" si="58"/>
        <v>84929.789514240008</v>
      </c>
    </row>
    <row r="102" spans="1:14" ht="25.5" customHeight="1" x14ac:dyDescent="0.25">
      <c r="A102" s="92" t="s">
        <v>694</v>
      </c>
      <c r="B102" s="12" t="s">
        <v>183</v>
      </c>
      <c r="C102" s="11" t="s">
        <v>26</v>
      </c>
      <c r="D102" s="11" t="s">
        <v>184</v>
      </c>
      <c r="E102" s="13" t="s">
        <v>24</v>
      </c>
      <c r="F102" s="12">
        <v>1714.31</v>
      </c>
      <c r="G102" s="14">
        <v>13.54</v>
      </c>
      <c r="H102" s="14">
        <v>16.579999999999998</v>
      </c>
      <c r="I102" s="14">
        <v>28423.25</v>
      </c>
      <c r="J102" s="28">
        <v>2.0287830121341898E-2</v>
      </c>
      <c r="K102" s="14">
        <f t="shared" si="55"/>
        <v>16.579999999999998</v>
      </c>
      <c r="L102" s="14">
        <f t="shared" si="56"/>
        <v>1.8221419999999997</v>
      </c>
      <c r="M102" s="14">
        <f t="shared" si="57"/>
        <v>18.402141999999998</v>
      </c>
      <c r="N102" s="193">
        <f t="shared" si="58"/>
        <v>31546.976052019996</v>
      </c>
    </row>
    <row r="103" spans="1:14" ht="14.25" customHeight="1" x14ac:dyDescent="0.25">
      <c r="A103" s="92" t="s">
        <v>695</v>
      </c>
      <c r="B103" s="12" t="s">
        <v>185</v>
      </c>
      <c r="C103" s="11" t="s">
        <v>26</v>
      </c>
      <c r="D103" s="11" t="s">
        <v>186</v>
      </c>
      <c r="E103" s="13" t="s">
        <v>24</v>
      </c>
      <c r="F103" s="12">
        <v>1889.68</v>
      </c>
      <c r="G103" s="14">
        <v>19.38</v>
      </c>
      <c r="H103" s="14">
        <v>23.73</v>
      </c>
      <c r="I103" s="14">
        <v>44842.1</v>
      </c>
      <c r="J103" s="28">
        <v>3.2007209136331191E-2</v>
      </c>
      <c r="K103" s="14">
        <f t="shared" si="55"/>
        <v>23.73</v>
      </c>
      <c r="L103" s="14">
        <f t="shared" si="56"/>
        <v>2.6079270000000001</v>
      </c>
      <c r="M103" s="14">
        <f t="shared" si="57"/>
        <v>26.337927000000001</v>
      </c>
      <c r="N103" s="193">
        <f t="shared" si="58"/>
        <v>49770.253893360001</v>
      </c>
    </row>
    <row r="104" spans="1:14" ht="14.25" customHeight="1" x14ac:dyDescent="0.25">
      <c r="A104" s="92" t="s">
        <v>696</v>
      </c>
      <c r="B104" s="12" t="s">
        <v>187</v>
      </c>
      <c r="C104" s="11" t="s">
        <v>26</v>
      </c>
      <c r="D104" s="11" t="s">
        <v>188</v>
      </c>
      <c r="E104" s="13" t="s">
        <v>116</v>
      </c>
      <c r="F104" s="12">
        <v>213.8</v>
      </c>
      <c r="G104" s="14">
        <v>15.4</v>
      </c>
      <c r="H104" s="14">
        <v>18.86</v>
      </c>
      <c r="I104" s="14">
        <v>4032.26</v>
      </c>
      <c r="J104" s="28">
        <v>2.8781299072091365E-3</v>
      </c>
      <c r="K104" s="14">
        <f t="shared" si="55"/>
        <v>18.86</v>
      </c>
      <c r="L104" s="14">
        <f t="shared" si="56"/>
        <v>2.0727139999999999</v>
      </c>
      <c r="M104" s="14">
        <f t="shared" si="57"/>
        <v>20.932714000000001</v>
      </c>
      <c r="N104" s="193">
        <f t="shared" si="58"/>
        <v>4475.4142532000005</v>
      </c>
    </row>
    <row r="105" spans="1:14" ht="14.25" customHeight="1" x14ac:dyDescent="0.25">
      <c r="A105" s="91" t="s">
        <v>189</v>
      </c>
      <c r="B105" s="8"/>
      <c r="C105" s="8"/>
      <c r="D105" s="8" t="s">
        <v>190</v>
      </c>
      <c r="E105" s="8"/>
      <c r="F105" s="9"/>
      <c r="G105" s="8"/>
      <c r="H105" s="8"/>
      <c r="I105" s="10">
        <v>7332.25</v>
      </c>
      <c r="J105" s="27">
        <v>5.2335831548893643E-3</v>
      </c>
      <c r="K105" s="8"/>
      <c r="L105" s="8"/>
      <c r="M105" s="8"/>
      <c r="N105" s="198">
        <f>N106</f>
        <v>8138.0682706400003</v>
      </c>
    </row>
    <row r="106" spans="1:14" ht="14.25" customHeight="1" x14ac:dyDescent="0.25">
      <c r="A106" s="92" t="s">
        <v>697</v>
      </c>
      <c r="B106" s="12" t="s">
        <v>191</v>
      </c>
      <c r="C106" s="11" t="s">
        <v>29</v>
      </c>
      <c r="D106" s="11" t="s">
        <v>192</v>
      </c>
      <c r="E106" s="13" t="s">
        <v>24</v>
      </c>
      <c r="F106" s="12">
        <v>463.48</v>
      </c>
      <c r="G106" s="14">
        <v>12.92</v>
      </c>
      <c r="H106" s="14">
        <v>15.82</v>
      </c>
      <c r="I106" s="14">
        <v>7332.25</v>
      </c>
      <c r="J106" s="28">
        <v>5.2335831548893643E-3</v>
      </c>
      <c r="K106" s="14">
        <f t="shared" ref="K106" si="59">H106</f>
        <v>15.82</v>
      </c>
      <c r="L106" s="14">
        <f t="shared" ref="L106" si="60">K106*10.99%</f>
        <v>1.738618</v>
      </c>
      <c r="M106" s="14">
        <f t="shared" ref="M106" si="61">K106+L106</f>
        <v>17.558617999999999</v>
      </c>
      <c r="N106" s="193">
        <f t="shared" ref="N106" si="62">F106*M106</f>
        <v>8138.0682706400003</v>
      </c>
    </row>
    <row r="107" spans="1:14" ht="14.25" customHeight="1" x14ac:dyDescent="0.25">
      <c r="A107" s="91" t="s">
        <v>193</v>
      </c>
      <c r="B107" s="8"/>
      <c r="C107" s="8"/>
      <c r="D107" s="8" t="s">
        <v>194</v>
      </c>
      <c r="E107" s="8"/>
      <c r="F107" s="9"/>
      <c r="G107" s="8"/>
      <c r="H107" s="8"/>
      <c r="I107" s="10">
        <v>154110.93</v>
      </c>
      <c r="J107" s="27">
        <v>0.11000066381156316</v>
      </c>
      <c r="K107" s="8"/>
      <c r="L107" s="8"/>
      <c r="M107" s="8"/>
      <c r="N107" s="198">
        <f>SUM(N108:N115)</f>
        <v>171047.77015359001</v>
      </c>
    </row>
    <row r="108" spans="1:14" ht="39" customHeight="1" x14ac:dyDescent="0.25">
      <c r="A108" s="92" t="s">
        <v>698</v>
      </c>
      <c r="B108" s="12" t="s">
        <v>195</v>
      </c>
      <c r="C108" s="11" t="s">
        <v>26</v>
      </c>
      <c r="D108" s="11" t="s">
        <v>196</v>
      </c>
      <c r="E108" s="13" t="s">
        <v>24</v>
      </c>
      <c r="F108" s="12">
        <v>1969.41</v>
      </c>
      <c r="G108" s="14">
        <v>3.25</v>
      </c>
      <c r="H108" s="14">
        <v>3.98</v>
      </c>
      <c r="I108" s="14">
        <v>7838.25</v>
      </c>
      <c r="J108" s="28">
        <v>5.5947537473233404E-3</v>
      </c>
      <c r="K108" s="14">
        <f t="shared" ref="K108:K115" si="63">H108</f>
        <v>3.98</v>
      </c>
      <c r="L108" s="14">
        <f t="shared" ref="L108:L115" si="64">K108*10.99%</f>
        <v>0.43740200000000001</v>
      </c>
      <c r="M108" s="14">
        <f t="shared" ref="M108:M115" si="65">K108+L108</f>
        <v>4.4174020000000001</v>
      </c>
      <c r="N108" s="193">
        <f t="shared" ref="N108:N115" si="66">F108*M108</f>
        <v>8699.6756728199998</v>
      </c>
    </row>
    <row r="109" spans="1:14" ht="14.25" customHeight="1" x14ac:dyDescent="0.25">
      <c r="A109" s="92" t="s">
        <v>699</v>
      </c>
      <c r="B109" s="12" t="s">
        <v>197</v>
      </c>
      <c r="C109" s="11" t="s">
        <v>26</v>
      </c>
      <c r="D109" s="11" t="s">
        <v>198</v>
      </c>
      <c r="E109" s="13" t="s">
        <v>24</v>
      </c>
      <c r="F109" s="12">
        <v>579.57000000000005</v>
      </c>
      <c r="G109" s="14">
        <v>5.34</v>
      </c>
      <c r="H109" s="14">
        <v>6.53</v>
      </c>
      <c r="I109" s="14">
        <v>3784.59</v>
      </c>
      <c r="J109" s="28">
        <v>2.7013490364025698E-3</v>
      </c>
      <c r="K109" s="14">
        <f t="shared" si="63"/>
        <v>6.53</v>
      </c>
      <c r="L109" s="14">
        <f t="shared" si="64"/>
        <v>0.71764700000000003</v>
      </c>
      <c r="M109" s="14">
        <f t="shared" si="65"/>
        <v>7.2476470000000006</v>
      </c>
      <c r="N109" s="193">
        <f t="shared" si="66"/>
        <v>4200.5187717900008</v>
      </c>
    </row>
    <row r="110" spans="1:14" ht="64.5" customHeight="1" x14ac:dyDescent="0.25">
      <c r="A110" s="92" t="s">
        <v>700</v>
      </c>
      <c r="B110" s="12" t="s">
        <v>199</v>
      </c>
      <c r="C110" s="11" t="s">
        <v>26</v>
      </c>
      <c r="D110" s="11" t="s">
        <v>200</v>
      </c>
      <c r="E110" s="13" t="s">
        <v>24</v>
      </c>
      <c r="F110" s="12">
        <v>1969.41</v>
      </c>
      <c r="G110" s="14">
        <v>21.09</v>
      </c>
      <c r="H110" s="14">
        <v>25.82</v>
      </c>
      <c r="I110" s="14">
        <v>50850.16</v>
      </c>
      <c r="J110" s="28">
        <v>3.6295617416131333E-2</v>
      </c>
      <c r="K110" s="14">
        <f t="shared" si="63"/>
        <v>25.82</v>
      </c>
      <c r="L110" s="14">
        <f t="shared" si="64"/>
        <v>2.837618</v>
      </c>
      <c r="M110" s="14">
        <f t="shared" si="65"/>
        <v>28.657617999999999</v>
      </c>
      <c r="N110" s="193">
        <f t="shared" si="66"/>
        <v>56438.599465380001</v>
      </c>
    </row>
    <row r="111" spans="1:14" ht="64.5" customHeight="1" x14ac:dyDescent="0.25">
      <c r="A111" s="92" t="s">
        <v>701</v>
      </c>
      <c r="B111" s="12" t="s">
        <v>201</v>
      </c>
      <c r="C111" s="11" t="s">
        <v>26</v>
      </c>
      <c r="D111" s="11" t="s">
        <v>202</v>
      </c>
      <c r="E111" s="13" t="s">
        <v>24</v>
      </c>
      <c r="F111" s="12">
        <v>1307.77</v>
      </c>
      <c r="G111" s="14">
        <v>18.010000000000002</v>
      </c>
      <c r="H111" s="14">
        <v>22.05</v>
      </c>
      <c r="I111" s="14">
        <v>28836.32</v>
      </c>
      <c r="J111" s="28">
        <v>2.0582669521770163E-2</v>
      </c>
      <c r="K111" s="14">
        <f t="shared" si="63"/>
        <v>22.05</v>
      </c>
      <c r="L111" s="14">
        <f t="shared" si="64"/>
        <v>2.423295</v>
      </c>
      <c r="M111" s="14">
        <f t="shared" si="65"/>
        <v>24.473295</v>
      </c>
      <c r="N111" s="193">
        <f t="shared" si="66"/>
        <v>32005.441002150001</v>
      </c>
    </row>
    <row r="112" spans="1:14" ht="64.5" customHeight="1" x14ac:dyDescent="0.25">
      <c r="A112" s="92" t="s">
        <v>702</v>
      </c>
      <c r="B112" s="12" t="s">
        <v>201</v>
      </c>
      <c r="C112" s="11" t="s">
        <v>26</v>
      </c>
      <c r="D112" s="11" t="s">
        <v>202</v>
      </c>
      <c r="E112" s="13" t="s">
        <v>24</v>
      </c>
      <c r="F112" s="12">
        <v>579.57000000000005</v>
      </c>
      <c r="G112" s="14">
        <v>18.010000000000002</v>
      </c>
      <c r="H112" s="14">
        <v>22.05</v>
      </c>
      <c r="I112" s="14">
        <v>12779.51</v>
      </c>
      <c r="J112" s="28">
        <v>9.1217059243397566E-3</v>
      </c>
      <c r="K112" s="14">
        <f t="shared" si="63"/>
        <v>22.05</v>
      </c>
      <c r="L112" s="14">
        <f t="shared" si="64"/>
        <v>2.423295</v>
      </c>
      <c r="M112" s="14">
        <f t="shared" si="65"/>
        <v>24.473295</v>
      </c>
      <c r="N112" s="193">
        <f t="shared" si="66"/>
        <v>14183.987583150001</v>
      </c>
    </row>
    <row r="113" spans="1:14" ht="14.25" customHeight="1" x14ac:dyDescent="0.25">
      <c r="A113" s="92" t="s">
        <v>703</v>
      </c>
      <c r="B113" s="12" t="s">
        <v>203</v>
      </c>
      <c r="C113" s="11" t="s">
        <v>26</v>
      </c>
      <c r="D113" s="11" t="s">
        <v>204</v>
      </c>
      <c r="E113" s="13" t="s">
        <v>24</v>
      </c>
      <c r="F113" s="12">
        <v>439.53</v>
      </c>
      <c r="G113" s="14">
        <v>52.46</v>
      </c>
      <c r="H113" s="14">
        <v>64.239999999999995</v>
      </c>
      <c r="I113" s="14">
        <v>28235.4</v>
      </c>
      <c r="J113" s="28">
        <v>2.0153747323340472E-2</v>
      </c>
      <c r="K113" s="14">
        <f t="shared" si="63"/>
        <v>64.239999999999995</v>
      </c>
      <c r="L113" s="14">
        <f t="shared" si="64"/>
        <v>7.0599759999999989</v>
      </c>
      <c r="M113" s="14">
        <f t="shared" si="65"/>
        <v>71.299975999999987</v>
      </c>
      <c r="N113" s="193">
        <f t="shared" si="66"/>
        <v>31338.478451279992</v>
      </c>
    </row>
    <row r="114" spans="1:14" ht="39" customHeight="1" x14ac:dyDescent="0.25">
      <c r="A114" s="92" t="s">
        <v>704</v>
      </c>
      <c r="B114" s="12" t="s">
        <v>205</v>
      </c>
      <c r="C114" s="11" t="s">
        <v>26</v>
      </c>
      <c r="D114" s="11" t="s">
        <v>206</v>
      </c>
      <c r="E114" s="13" t="s">
        <v>24</v>
      </c>
      <c r="F114" s="12">
        <v>222.12</v>
      </c>
      <c r="G114" s="14">
        <v>51.11</v>
      </c>
      <c r="H114" s="14">
        <v>62.59</v>
      </c>
      <c r="I114" s="14">
        <v>13902.49</v>
      </c>
      <c r="J114" s="28">
        <v>9.9232619557458965E-3</v>
      </c>
      <c r="K114" s="14">
        <f t="shared" si="63"/>
        <v>62.59</v>
      </c>
      <c r="L114" s="14">
        <f t="shared" si="64"/>
        <v>6.878641</v>
      </c>
      <c r="M114" s="14">
        <f t="shared" si="65"/>
        <v>69.468641000000005</v>
      </c>
      <c r="N114" s="193">
        <f t="shared" si="66"/>
        <v>15430.374538920001</v>
      </c>
    </row>
    <row r="115" spans="1:14" ht="25.5" customHeight="1" x14ac:dyDescent="0.25">
      <c r="A115" s="92" t="s">
        <v>705</v>
      </c>
      <c r="B115" s="12" t="s">
        <v>207</v>
      </c>
      <c r="C115" s="11" t="s">
        <v>26</v>
      </c>
      <c r="D115" s="11" t="s">
        <v>208</v>
      </c>
      <c r="E115" s="13" t="s">
        <v>116</v>
      </c>
      <c r="F115" s="12">
        <v>257.14999999999998</v>
      </c>
      <c r="G115" s="14">
        <v>25.04</v>
      </c>
      <c r="H115" s="14">
        <v>30.66</v>
      </c>
      <c r="I115" s="14">
        <v>7884.21</v>
      </c>
      <c r="J115" s="28">
        <v>5.6275588865096361E-3</v>
      </c>
      <c r="K115" s="14">
        <f t="shared" si="63"/>
        <v>30.66</v>
      </c>
      <c r="L115" s="14">
        <f t="shared" si="64"/>
        <v>3.3695339999999998</v>
      </c>
      <c r="M115" s="14">
        <f t="shared" si="65"/>
        <v>34.029533999999998</v>
      </c>
      <c r="N115" s="193">
        <f t="shared" si="66"/>
        <v>8750.694668099999</v>
      </c>
    </row>
    <row r="116" spans="1:14" ht="14.25" customHeight="1" x14ac:dyDescent="0.25">
      <c r="A116" s="91" t="s">
        <v>209</v>
      </c>
      <c r="B116" s="8"/>
      <c r="C116" s="8"/>
      <c r="D116" s="8" t="s">
        <v>210</v>
      </c>
      <c r="E116" s="8"/>
      <c r="F116" s="9"/>
      <c r="G116" s="8"/>
      <c r="H116" s="8"/>
      <c r="I116" s="10">
        <v>127667.35</v>
      </c>
      <c r="J116" s="27">
        <v>9.1125874375446114E-2</v>
      </c>
      <c r="K116" s="8"/>
      <c r="L116" s="8"/>
      <c r="M116" s="8"/>
      <c r="N116" s="192"/>
    </row>
    <row r="117" spans="1:14" ht="14.25" customHeight="1" x14ac:dyDescent="0.25">
      <c r="A117" s="91" t="s">
        <v>211</v>
      </c>
      <c r="B117" s="8"/>
      <c r="C117" s="8"/>
      <c r="D117" s="8" t="s">
        <v>212</v>
      </c>
      <c r="E117" s="8"/>
      <c r="F117" s="9"/>
      <c r="G117" s="8"/>
      <c r="H117" s="8"/>
      <c r="I117" s="10">
        <v>102170.13</v>
      </c>
      <c r="J117" s="27">
        <v>7.2926573875802994E-2</v>
      </c>
      <c r="K117" s="8"/>
      <c r="L117" s="8"/>
      <c r="M117" s="8"/>
      <c r="N117" s="198">
        <f>SUM(N118:N124)</f>
        <v>113398.65214876001</v>
      </c>
    </row>
    <row r="118" spans="1:14" ht="51.75" customHeight="1" x14ac:dyDescent="0.25">
      <c r="A118" s="92" t="s">
        <v>706</v>
      </c>
      <c r="B118" s="12" t="s">
        <v>213</v>
      </c>
      <c r="C118" s="11" t="s">
        <v>26</v>
      </c>
      <c r="D118" s="11" t="s">
        <v>214</v>
      </c>
      <c r="E118" s="13" t="s">
        <v>24</v>
      </c>
      <c r="F118" s="12">
        <v>814.48</v>
      </c>
      <c r="G118" s="14">
        <v>27.28</v>
      </c>
      <c r="H118" s="14">
        <v>33.4</v>
      </c>
      <c r="I118" s="14">
        <v>27203.63</v>
      </c>
      <c r="J118" s="28">
        <v>1.9417294789436119E-2</v>
      </c>
      <c r="K118" s="14">
        <f t="shared" ref="K118:K124" si="67">H118</f>
        <v>33.4</v>
      </c>
      <c r="L118" s="14">
        <f t="shared" ref="L118:L124" si="68">K118*10.99%</f>
        <v>3.6706599999999998</v>
      </c>
      <c r="M118" s="14">
        <f t="shared" ref="M118:M124" si="69">K118+L118</f>
        <v>37.070659999999997</v>
      </c>
      <c r="N118" s="193">
        <f t="shared" ref="N118:N124" si="70">F118*M118</f>
        <v>30193.311156799999</v>
      </c>
    </row>
    <row r="119" spans="1:14" ht="26.25" customHeight="1" x14ac:dyDescent="0.25">
      <c r="A119" s="92" t="s">
        <v>707</v>
      </c>
      <c r="B119" s="12" t="s">
        <v>215</v>
      </c>
      <c r="C119" s="11" t="s">
        <v>26</v>
      </c>
      <c r="D119" s="11" t="s">
        <v>216</v>
      </c>
      <c r="E119" s="13" t="s">
        <v>24</v>
      </c>
      <c r="F119" s="12">
        <v>814.48</v>
      </c>
      <c r="G119" s="14">
        <v>24.97</v>
      </c>
      <c r="H119" s="14">
        <v>30.58</v>
      </c>
      <c r="I119" s="14">
        <v>24906.79</v>
      </c>
      <c r="J119" s="28">
        <v>1.7777865810135619E-2</v>
      </c>
      <c r="K119" s="14">
        <f t="shared" si="67"/>
        <v>30.58</v>
      </c>
      <c r="L119" s="14">
        <f t="shared" si="68"/>
        <v>3.3607419999999997</v>
      </c>
      <c r="M119" s="14">
        <f t="shared" si="69"/>
        <v>33.940742</v>
      </c>
      <c r="N119" s="193">
        <f t="shared" si="70"/>
        <v>27644.055544160001</v>
      </c>
    </row>
    <row r="120" spans="1:14" ht="39" customHeight="1" x14ac:dyDescent="0.25">
      <c r="A120" s="92" t="s">
        <v>708</v>
      </c>
      <c r="B120" s="12" t="s">
        <v>217</v>
      </c>
      <c r="C120" s="11" t="s">
        <v>26</v>
      </c>
      <c r="D120" s="11" t="s">
        <v>218</v>
      </c>
      <c r="E120" s="13" t="s">
        <v>24</v>
      </c>
      <c r="F120" s="12">
        <v>65.28</v>
      </c>
      <c r="G120" s="14">
        <v>41.24</v>
      </c>
      <c r="H120" s="14">
        <v>50.5</v>
      </c>
      <c r="I120" s="14">
        <v>3296.64</v>
      </c>
      <c r="J120" s="28">
        <v>2.3530620985010705E-3</v>
      </c>
      <c r="K120" s="14">
        <f t="shared" si="67"/>
        <v>50.5</v>
      </c>
      <c r="L120" s="14">
        <f t="shared" si="68"/>
        <v>5.5499499999999999</v>
      </c>
      <c r="M120" s="14">
        <f t="shared" si="69"/>
        <v>56.049950000000003</v>
      </c>
      <c r="N120" s="193">
        <f t="shared" si="70"/>
        <v>3658.940736</v>
      </c>
    </row>
    <row r="121" spans="1:14" ht="39" customHeight="1" x14ac:dyDescent="0.25">
      <c r="A121" s="92" t="s">
        <v>709</v>
      </c>
      <c r="B121" s="12" t="s">
        <v>217</v>
      </c>
      <c r="C121" s="11" t="s">
        <v>26</v>
      </c>
      <c r="D121" s="11" t="s">
        <v>218</v>
      </c>
      <c r="E121" s="13" t="s">
        <v>24</v>
      </c>
      <c r="F121" s="12">
        <v>749.2</v>
      </c>
      <c r="G121" s="14">
        <v>41.24</v>
      </c>
      <c r="H121" s="14">
        <v>50.5</v>
      </c>
      <c r="I121" s="14">
        <v>37834.6</v>
      </c>
      <c r="J121" s="28">
        <v>2.7005424696645252E-2</v>
      </c>
      <c r="K121" s="14">
        <f t="shared" si="67"/>
        <v>50.5</v>
      </c>
      <c r="L121" s="14">
        <f t="shared" si="68"/>
        <v>5.5499499999999999</v>
      </c>
      <c r="M121" s="14">
        <f t="shared" si="69"/>
        <v>56.049950000000003</v>
      </c>
      <c r="N121" s="193">
        <f t="shared" si="70"/>
        <v>41992.622540000004</v>
      </c>
    </row>
    <row r="122" spans="1:14" ht="14.25" customHeight="1" x14ac:dyDescent="0.25">
      <c r="A122" s="92" t="s">
        <v>710</v>
      </c>
      <c r="B122" s="12" t="s">
        <v>219</v>
      </c>
      <c r="C122" s="11" t="s">
        <v>29</v>
      </c>
      <c r="D122" s="11" t="s">
        <v>220</v>
      </c>
      <c r="E122" s="13" t="s">
        <v>24</v>
      </c>
      <c r="F122" s="12">
        <v>40.950000000000003</v>
      </c>
      <c r="G122" s="14">
        <v>138.13999999999999</v>
      </c>
      <c r="H122" s="14">
        <v>169.18</v>
      </c>
      <c r="I122" s="14">
        <v>6927.92</v>
      </c>
      <c r="J122" s="28">
        <v>4.9449821556031403E-3</v>
      </c>
      <c r="K122" s="14">
        <f t="shared" si="67"/>
        <v>169.18</v>
      </c>
      <c r="L122" s="14">
        <f t="shared" si="68"/>
        <v>18.592881999999999</v>
      </c>
      <c r="M122" s="14">
        <f t="shared" si="69"/>
        <v>187.77288200000001</v>
      </c>
      <c r="N122" s="193">
        <f t="shared" si="70"/>
        <v>7689.2995179000009</v>
      </c>
    </row>
    <row r="123" spans="1:14" ht="25.5" customHeight="1" x14ac:dyDescent="0.25">
      <c r="A123" s="92" t="s">
        <v>711</v>
      </c>
      <c r="B123" s="12" t="s">
        <v>221</v>
      </c>
      <c r="C123" s="11" t="s">
        <v>29</v>
      </c>
      <c r="D123" s="11" t="s">
        <v>222</v>
      </c>
      <c r="E123" s="13" t="s">
        <v>24</v>
      </c>
      <c r="F123" s="12">
        <v>5.4</v>
      </c>
      <c r="G123" s="14">
        <v>95.53</v>
      </c>
      <c r="H123" s="14">
        <v>116.99</v>
      </c>
      <c r="I123" s="14">
        <v>631.74</v>
      </c>
      <c r="J123" s="28">
        <v>4.5092077087794432E-4</v>
      </c>
      <c r="K123" s="14">
        <f t="shared" si="67"/>
        <v>116.99</v>
      </c>
      <c r="L123" s="14">
        <f t="shared" si="68"/>
        <v>12.857201</v>
      </c>
      <c r="M123" s="14">
        <f t="shared" si="69"/>
        <v>129.84720099999998</v>
      </c>
      <c r="N123" s="193">
        <f t="shared" si="70"/>
        <v>701.17488539999999</v>
      </c>
    </row>
    <row r="124" spans="1:14" ht="14.25" customHeight="1" x14ac:dyDescent="0.25">
      <c r="A124" s="92" t="s">
        <v>712</v>
      </c>
      <c r="B124" s="12" t="s">
        <v>223</v>
      </c>
      <c r="C124" s="11" t="s">
        <v>29</v>
      </c>
      <c r="D124" s="11" t="s">
        <v>224</v>
      </c>
      <c r="E124" s="13" t="s">
        <v>116</v>
      </c>
      <c r="F124" s="12">
        <v>18.5</v>
      </c>
      <c r="G124" s="14">
        <v>60.42</v>
      </c>
      <c r="H124" s="14">
        <v>73.989999999999995</v>
      </c>
      <c r="I124" s="14">
        <v>1368.81</v>
      </c>
      <c r="J124" s="28">
        <v>9.7702355460385442E-4</v>
      </c>
      <c r="K124" s="14">
        <f t="shared" si="67"/>
        <v>73.989999999999995</v>
      </c>
      <c r="L124" s="14">
        <f t="shared" si="68"/>
        <v>8.1315010000000001</v>
      </c>
      <c r="M124" s="14">
        <f t="shared" si="69"/>
        <v>82.121500999999995</v>
      </c>
      <c r="N124" s="193">
        <f t="shared" si="70"/>
        <v>1519.2477684999999</v>
      </c>
    </row>
    <row r="125" spans="1:14" ht="14.25" customHeight="1" x14ac:dyDescent="0.25">
      <c r="A125" s="91" t="s">
        <v>225</v>
      </c>
      <c r="B125" s="8"/>
      <c r="C125" s="8"/>
      <c r="D125" s="8" t="s">
        <v>226</v>
      </c>
      <c r="E125" s="8"/>
      <c r="F125" s="9"/>
      <c r="G125" s="8"/>
      <c r="H125" s="8"/>
      <c r="I125" s="10">
        <v>25497.22</v>
      </c>
      <c r="J125" s="27">
        <v>1.8199300499643113E-2</v>
      </c>
      <c r="K125" s="8"/>
      <c r="L125" s="8"/>
      <c r="M125" s="8"/>
      <c r="N125" s="198">
        <f>SUM(N126:N129)</f>
        <v>28299.386897979999</v>
      </c>
    </row>
    <row r="126" spans="1:14" ht="39" customHeight="1" x14ac:dyDescent="0.25">
      <c r="A126" s="92" t="s">
        <v>713</v>
      </c>
      <c r="B126" s="12" t="s">
        <v>227</v>
      </c>
      <c r="C126" s="11" t="s">
        <v>26</v>
      </c>
      <c r="D126" s="11" t="s">
        <v>228</v>
      </c>
      <c r="E126" s="13" t="s">
        <v>50</v>
      </c>
      <c r="F126" s="12">
        <v>25.08</v>
      </c>
      <c r="G126" s="14">
        <v>536.34</v>
      </c>
      <c r="H126" s="14">
        <v>656.85</v>
      </c>
      <c r="I126" s="14">
        <v>16473.79</v>
      </c>
      <c r="J126" s="28">
        <v>1.1758593861527481E-2</v>
      </c>
      <c r="K126" s="14">
        <f t="shared" ref="K126:K129" si="71">H126</f>
        <v>656.85</v>
      </c>
      <c r="L126" s="14">
        <f t="shared" ref="L126:L129" si="72">K126*10.99%</f>
        <v>72.187815000000001</v>
      </c>
      <c r="M126" s="14">
        <f t="shared" ref="M126:M129" si="73">K126+L126</f>
        <v>729.03781500000002</v>
      </c>
      <c r="N126" s="193">
        <f t="shared" ref="N126:N129" si="74">F126*M126</f>
        <v>18284.268400199999</v>
      </c>
    </row>
    <row r="127" spans="1:14" ht="39" customHeight="1" x14ac:dyDescent="0.25">
      <c r="A127" s="92" t="s">
        <v>714</v>
      </c>
      <c r="B127" s="12" t="s">
        <v>229</v>
      </c>
      <c r="C127" s="11" t="s">
        <v>26</v>
      </c>
      <c r="D127" s="11" t="s">
        <v>230</v>
      </c>
      <c r="E127" s="13" t="s">
        <v>50</v>
      </c>
      <c r="F127" s="12">
        <v>11.98</v>
      </c>
      <c r="G127" s="14">
        <v>304.58</v>
      </c>
      <c r="H127" s="14">
        <v>373.01</v>
      </c>
      <c r="I127" s="14">
        <v>4468.6499999999996</v>
      </c>
      <c r="J127" s="28">
        <v>3.1896145610278374E-3</v>
      </c>
      <c r="K127" s="14">
        <f t="shared" si="71"/>
        <v>373.01</v>
      </c>
      <c r="L127" s="14">
        <f t="shared" si="72"/>
        <v>40.993798999999996</v>
      </c>
      <c r="M127" s="14">
        <f t="shared" si="73"/>
        <v>414.00379899999996</v>
      </c>
      <c r="N127" s="193">
        <f t="shared" si="74"/>
        <v>4959.7655120199997</v>
      </c>
    </row>
    <row r="128" spans="1:14" ht="14.25" customHeight="1" x14ac:dyDescent="0.25">
      <c r="A128" s="92" t="s">
        <v>715</v>
      </c>
      <c r="B128" s="12" t="s">
        <v>231</v>
      </c>
      <c r="C128" s="11" t="s">
        <v>26</v>
      </c>
      <c r="D128" s="11" t="s">
        <v>232</v>
      </c>
      <c r="E128" s="13" t="s">
        <v>116</v>
      </c>
      <c r="F128" s="12">
        <v>27.3</v>
      </c>
      <c r="G128" s="14">
        <v>22.9</v>
      </c>
      <c r="H128" s="14">
        <v>28.04</v>
      </c>
      <c r="I128" s="14">
        <v>765.49</v>
      </c>
      <c r="J128" s="28">
        <v>5.4638829407566028E-4</v>
      </c>
      <c r="K128" s="14">
        <f t="shared" si="71"/>
        <v>28.04</v>
      </c>
      <c r="L128" s="14">
        <f t="shared" si="72"/>
        <v>3.0815959999999998</v>
      </c>
      <c r="M128" s="14">
        <f t="shared" si="73"/>
        <v>31.121596</v>
      </c>
      <c r="N128" s="193">
        <f t="shared" si="74"/>
        <v>849.61957080000002</v>
      </c>
    </row>
    <row r="129" spans="1:14" ht="39" customHeight="1" x14ac:dyDescent="0.25">
      <c r="A129" s="92" t="s">
        <v>716</v>
      </c>
      <c r="B129" s="12" t="s">
        <v>233</v>
      </c>
      <c r="C129" s="11" t="s">
        <v>26</v>
      </c>
      <c r="D129" s="11" t="s">
        <v>234</v>
      </c>
      <c r="E129" s="13" t="s">
        <v>50</v>
      </c>
      <c r="F129" s="12">
        <v>11.28</v>
      </c>
      <c r="G129" s="14">
        <v>274.3</v>
      </c>
      <c r="H129" s="14">
        <v>335.93</v>
      </c>
      <c r="I129" s="14">
        <v>3789.29</v>
      </c>
      <c r="J129" s="28">
        <v>2.704703783012134E-3</v>
      </c>
      <c r="K129" s="14">
        <f t="shared" si="71"/>
        <v>335.93</v>
      </c>
      <c r="L129" s="14">
        <f t="shared" si="72"/>
        <v>36.918706999999998</v>
      </c>
      <c r="M129" s="14">
        <f t="shared" si="73"/>
        <v>372.84870699999999</v>
      </c>
      <c r="N129" s="193">
        <f t="shared" si="74"/>
        <v>4205.7334149599992</v>
      </c>
    </row>
    <row r="130" spans="1:14" ht="14.25" customHeight="1" x14ac:dyDescent="0.25">
      <c r="A130" s="91" t="s">
        <v>235</v>
      </c>
      <c r="B130" s="8"/>
      <c r="C130" s="8"/>
      <c r="D130" s="8" t="s">
        <v>236</v>
      </c>
      <c r="E130" s="8"/>
      <c r="F130" s="9"/>
      <c r="G130" s="8"/>
      <c r="H130" s="8"/>
      <c r="I130" s="10">
        <v>45376</v>
      </c>
      <c r="J130" s="27">
        <v>3.238829407566024E-2</v>
      </c>
      <c r="K130" s="8"/>
      <c r="L130" s="8"/>
      <c r="M130" s="8"/>
      <c r="N130" s="198">
        <f>SUM(N131:N137)</f>
        <v>50362.865242140011</v>
      </c>
    </row>
    <row r="131" spans="1:14" ht="25.5" customHeight="1" x14ac:dyDescent="0.25">
      <c r="A131" s="92" t="s">
        <v>717</v>
      </c>
      <c r="B131" s="12" t="s">
        <v>237</v>
      </c>
      <c r="C131" s="11" t="s">
        <v>26</v>
      </c>
      <c r="D131" s="11" t="s">
        <v>238</v>
      </c>
      <c r="E131" s="13" t="s">
        <v>116</v>
      </c>
      <c r="F131" s="12">
        <v>432.55</v>
      </c>
      <c r="G131" s="14">
        <v>21.6</v>
      </c>
      <c r="H131" s="14">
        <v>26.45</v>
      </c>
      <c r="I131" s="14">
        <v>11440.94</v>
      </c>
      <c r="J131" s="28">
        <v>8.1662669521770162E-3</v>
      </c>
      <c r="K131" s="14">
        <f t="shared" ref="K131:K137" si="75">H131</f>
        <v>26.45</v>
      </c>
      <c r="L131" s="14">
        <f t="shared" ref="L131:L137" si="76">K131*10.99%</f>
        <v>2.9068549999999997</v>
      </c>
      <c r="M131" s="14">
        <f t="shared" ref="M131:M137" si="77">K131+L131</f>
        <v>29.356854999999999</v>
      </c>
      <c r="N131" s="193">
        <f t="shared" ref="N131:N137" si="78">F131*M131</f>
        <v>12698.307630249999</v>
      </c>
    </row>
    <row r="132" spans="1:14" ht="25.5" customHeight="1" x14ac:dyDescent="0.25">
      <c r="A132" s="92" t="s">
        <v>718</v>
      </c>
      <c r="B132" s="12" t="s">
        <v>237</v>
      </c>
      <c r="C132" s="11" t="s">
        <v>26</v>
      </c>
      <c r="D132" s="11" t="s">
        <v>238</v>
      </c>
      <c r="E132" s="13" t="s">
        <v>116</v>
      </c>
      <c r="F132" s="12">
        <v>579.57000000000005</v>
      </c>
      <c r="G132" s="14">
        <v>21.6</v>
      </c>
      <c r="H132" s="14">
        <v>26.45</v>
      </c>
      <c r="I132" s="14">
        <v>15329.62</v>
      </c>
      <c r="J132" s="28">
        <v>1.0941912919343327E-2</v>
      </c>
      <c r="K132" s="14">
        <f t="shared" si="75"/>
        <v>26.45</v>
      </c>
      <c r="L132" s="14">
        <f t="shared" si="76"/>
        <v>2.9068549999999997</v>
      </c>
      <c r="M132" s="14">
        <f t="shared" si="77"/>
        <v>29.356854999999999</v>
      </c>
      <c r="N132" s="193">
        <f t="shared" si="78"/>
        <v>17014.352452350002</v>
      </c>
    </row>
    <row r="133" spans="1:14" ht="25.5" customHeight="1" x14ac:dyDescent="0.25">
      <c r="A133" s="92" t="s">
        <v>719</v>
      </c>
      <c r="B133" s="12" t="s">
        <v>239</v>
      </c>
      <c r="C133" s="11" t="s">
        <v>26</v>
      </c>
      <c r="D133" s="11" t="s">
        <v>240</v>
      </c>
      <c r="E133" s="13" t="s">
        <v>24</v>
      </c>
      <c r="F133" s="12">
        <v>1307.77</v>
      </c>
      <c r="G133" s="14">
        <v>6.94</v>
      </c>
      <c r="H133" s="14">
        <v>8.49</v>
      </c>
      <c r="I133" s="14">
        <v>11102.96</v>
      </c>
      <c r="J133" s="28">
        <v>7.9250249821556026E-3</v>
      </c>
      <c r="K133" s="14">
        <f t="shared" si="75"/>
        <v>8.49</v>
      </c>
      <c r="L133" s="14">
        <f t="shared" si="76"/>
        <v>0.93305099999999996</v>
      </c>
      <c r="M133" s="14">
        <f t="shared" si="77"/>
        <v>9.423051000000001</v>
      </c>
      <c r="N133" s="193">
        <f t="shared" si="78"/>
        <v>12323.183406270002</v>
      </c>
    </row>
    <row r="134" spans="1:14" ht="25.5" customHeight="1" x14ac:dyDescent="0.25">
      <c r="A134" s="92" t="s">
        <v>720</v>
      </c>
      <c r="B134" s="12" t="s">
        <v>241</v>
      </c>
      <c r="C134" s="11" t="s">
        <v>26</v>
      </c>
      <c r="D134" s="11" t="s">
        <v>242</v>
      </c>
      <c r="E134" s="13" t="s">
        <v>24</v>
      </c>
      <c r="F134" s="12">
        <v>569.57000000000005</v>
      </c>
      <c r="G134" s="14">
        <v>8.4700000000000006</v>
      </c>
      <c r="H134" s="14">
        <v>10.37</v>
      </c>
      <c r="I134" s="14">
        <v>5906.44</v>
      </c>
      <c r="J134" s="28">
        <v>4.2158743754461096E-3</v>
      </c>
      <c r="K134" s="14">
        <f t="shared" si="75"/>
        <v>10.37</v>
      </c>
      <c r="L134" s="14">
        <f t="shared" si="76"/>
        <v>1.1396629999999999</v>
      </c>
      <c r="M134" s="14">
        <f t="shared" si="77"/>
        <v>11.509663</v>
      </c>
      <c r="N134" s="193">
        <f t="shared" si="78"/>
        <v>6555.5587549100001</v>
      </c>
    </row>
    <row r="135" spans="1:14" ht="14.25" customHeight="1" x14ac:dyDescent="0.25">
      <c r="A135" s="92" t="s">
        <v>721</v>
      </c>
      <c r="B135" s="12" t="s">
        <v>243</v>
      </c>
      <c r="C135" s="11" t="s">
        <v>26</v>
      </c>
      <c r="D135" s="11" t="s">
        <v>244</v>
      </c>
      <c r="E135" s="13" t="s">
        <v>24</v>
      </c>
      <c r="F135" s="12">
        <v>25.72</v>
      </c>
      <c r="G135" s="14">
        <v>10.81</v>
      </c>
      <c r="H135" s="14">
        <v>13.23</v>
      </c>
      <c r="I135" s="14">
        <v>340.27</v>
      </c>
      <c r="J135" s="28">
        <v>2.4287651677373304E-4</v>
      </c>
      <c r="K135" s="14">
        <f t="shared" si="75"/>
        <v>13.23</v>
      </c>
      <c r="L135" s="14">
        <f t="shared" si="76"/>
        <v>1.4539770000000001</v>
      </c>
      <c r="M135" s="14">
        <f t="shared" si="77"/>
        <v>14.683977000000001</v>
      </c>
      <c r="N135" s="193">
        <f t="shared" si="78"/>
        <v>377.67188843999998</v>
      </c>
    </row>
    <row r="136" spans="1:14" ht="51.75" customHeight="1" x14ac:dyDescent="0.25">
      <c r="A136" s="92" t="s">
        <v>722</v>
      </c>
      <c r="B136" s="12" t="s">
        <v>245</v>
      </c>
      <c r="C136" s="11" t="s">
        <v>26</v>
      </c>
      <c r="D136" s="11" t="s">
        <v>246</v>
      </c>
      <c r="E136" s="13" t="s">
        <v>24</v>
      </c>
      <c r="F136" s="12">
        <v>21.6</v>
      </c>
      <c r="G136" s="14">
        <v>16.190000000000001</v>
      </c>
      <c r="H136" s="14">
        <v>19.82</v>
      </c>
      <c r="I136" s="14">
        <v>428.11</v>
      </c>
      <c r="J136" s="28">
        <v>3.0557458957887224E-4</v>
      </c>
      <c r="K136" s="14">
        <f t="shared" si="75"/>
        <v>19.82</v>
      </c>
      <c r="L136" s="14">
        <f t="shared" si="76"/>
        <v>2.1782179999999998</v>
      </c>
      <c r="M136" s="14">
        <f t="shared" si="77"/>
        <v>21.998218000000001</v>
      </c>
      <c r="N136" s="193">
        <f t="shared" si="78"/>
        <v>475.16150880000004</v>
      </c>
    </row>
    <row r="137" spans="1:14" ht="14.25" customHeight="1" x14ac:dyDescent="0.25">
      <c r="A137" s="92" t="s">
        <v>723</v>
      </c>
      <c r="B137" s="12" t="s">
        <v>243</v>
      </c>
      <c r="C137" s="11" t="s">
        <v>26</v>
      </c>
      <c r="D137" s="11" t="s">
        <v>244</v>
      </c>
      <c r="E137" s="13" t="s">
        <v>24</v>
      </c>
      <c r="F137" s="12">
        <v>62.56</v>
      </c>
      <c r="G137" s="14">
        <v>10.81</v>
      </c>
      <c r="H137" s="14">
        <v>13.23</v>
      </c>
      <c r="I137" s="14">
        <v>827.66</v>
      </c>
      <c r="J137" s="28">
        <v>5.9076374018558178E-4</v>
      </c>
      <c r="K137" s="14">
        <f t="shared" si="75"/>
        <v>13.23</v>
      </c>
      <c r="L137" s="14">
        <f t="shared" si="76"/>
        <v>1.4539770000000001</v>
      </c>
      <c r="M137" s="14">
        <f t="shared" si="77"/>
        <v>14.683977000000001</v>
      </c>
      <c r="N137" s="193">
        <f t="shared" si="78"/>
        <v>918.62960112000007</v>
      </c>
    </row>
    <row r="138" spans="1:14" ht="14.25" customHeight="1" x14ac:dyDescent="0.25">
      <c r="A138" s="91" t="s">
        <v>247</v>
      </c>
      <c r="B138" s="8"/>
      <c r="C138" s="8"/>
      <c r="D138" s="8" t="s">
        <v>248</v>
      </c>
      <c r="E138" s="8"/>
      <c r="F138" s="9"/>
      <c r="G138" s="8"/>
      <c r="H138" s="8"/>
      <c r="I138" s="10">
        <v>33522.230000000003</v>
      </c>
      <c r="J138" s="27">
        <v>2.3927359029264812E-2</v>
      </c>
      <c r="K138" s="8"/>
      <c r="L138" s="8"/>
      <c r="M138" s="8"/>
      <c r="N138" s="198">
        <f>SUM(N139:N165)</f>
        <v>37206.323077000001</v>
      </c>
    </row>
    <row r="139" spans="1:14" ht="14.25" customHeight="1" x14ac:dyDescent="0.25">
      <c r="A139" s="92" t="s">
        <v>724</v>
      </c>
      <c r="B139" s="12" t="s">
        <v>249</v>
      </c>
      <c r="C139" s="11" t="s">
        <v>26</v>
      </c>
      <c r="D139" s="11" t="s">
        <v>250</v>
      </c>
      <c r="E139" s="13" t="s">
        <v>116</v>
      </c>
      <c r="F139" s="12">
        <v>23</v>
      </c>
      <c r="G139" s="14">
        <v>7.6</v>
      </c>
      <c r="H139" s="14">
        <v>9.3000000000000007</v>
      </c>
      <c r="I139" s="14">
        <v>213.9</v>
      </c>
      <c r="J139" s="28">
        <v>1.5267665952890791E-4</v>
      </c>
      <c r="K139" s="14">
        <f t="shared" ref="K139:K165" si="79">H139</f>
        <v>9.3000000000000007</v>
      </c>
      <c r="L139" s="14">
        <f t="shared" ref="L139:L165" si="80">K139*10.99%</f>
        <v>1.02207</v>
      </c>
      <c r="M139" s="14">
        <f t="shared" ref="M139:M165" si="81">K139+L139</f>
        <v>10.32207</v>
      </c>
      <c r="N139" s="193">
        <f t="shared" ref="N139:N165" si="82">F139*M139</f>
        <v>237.40761000000001</v>
      </c>
    </row>
    <row r="140" spans="1:14" ht="25.5" customHeight="1" x14ac:dyDescent="0.25">
      <c r="A140" s="92" t="s">
        <v>725</v>
      </c>
      <c r="B140" s="12" t="s">
        <v>251</v>
      </c>
      <c r="C140" s="11" t="s">
        <v>26</v>
      </c>
      <c r="D140" s="11" t="s">
        <v>252</v>
      </c>
      <c r="E140" s="13" t="s">
        <v>116</v>
      </c>
      <c r="F140" s="12">
        <v>8</v>
      </c>
      <c r="G140" s="14">
        <v>4.22</v>
      </c>
      <c r="H140" s="14">
        <v>5.16</v>
      </c>
      <c r="I140" s="14">
        <v>41.28</v>
      </c>
      <c r="J140" s="28">
        <v>2.9464668094218414E-5</v>
      </c>
      <c r="K140" s="14">
        <f t="shared" si="79"/>
        <v>5.16</v>
      </c>
      <c r="L140" s="14">
        <f t="shared" si="80"/>
        <v>0.56708400000000003</v>
      </c>
      <c r="M140" s="14">
        <f t="shared" si="81"/>
        <v>5.7270840000000005</v>
      </c>
      <c r="N140" s="193">
        <f t="shared" si="82"/>
        <v>45.816672000000004</v>
      </c>
    </row>
    <row r="141" spans="1:14" ht="25.5" customHeight="1" x14ac:dyDescent="0.25">
      <c r="A141" s="92" t="s">
        <v>726</v>
      </c>
      <c r="B141" s="12" t="s">
        <v>253</v>
      </c>
      <c r="C141" s="11" t="s">
        <v>26</v>
      </c>
      <c r="D141" s="11" t="s">
        <v>254</v>
      </c>
      <c r="E141" s="13" t="s">
        <v>116</v>
      </c>
      <c r="F141" s="12">
        <v>3</v>
      </c>
      <c r="G141" s="14">
        <v>8.52</v>
      </c>
      <c r="H141" s="14">
        <v>10.43</v>
      </c>
      <c r="I141" s="14">
        <v>31.29</v>
      </c>
      <c r="J141" s="28">
        <v>2.2334047109207709E-5</v>
      </c>
      <c r="K141" s="14">
        <f t="shared" si="79"/>
        <v>10.43</v>
      </c>
      <c r="L141" s="14">
        <f t="shared" si="80"/>
        <v>1.1462569999999999</v>
      </c>
      <c r="M141" s="14">
        <f t="shared" si="81"/>
        <v>11.576257</v>
      </c>
      <c r="N141" s="193">
        <f t="shared" si="82"/>
        <v>34.728771000000002</v>
      </c>
    </row>
    <row r="142" spans="1:14" ht="25.5" customHeight="1" x14ac:dyDescent="0.25">
      <c r="A142" s="92" t="s">
        <v>727</v>
      </c>
      <c r="B142" s="12" t="s">
        <v>255</v>
      </c>
      <c r="C142" s="11" t="s">
        <v>26</v>
      </c>
      <c r="D142" s="11" t="s">
        <v>256</v>
      </c>
      <c r="E142" s="13" t="s">
        <v>116</v>
      </c>
      <c r="F142" s="12">
        <v>11</v>
      </c>
      <c r="G142" s="14">
        <v>13.12</v>
      </c>
      <c r="H142" s="14">
        <v>16.059999999999999</v>
      </c>
      <c r="I142" s="14">
        <v>176.66</v>
      </c>
      <c r="J142" s="28">
        <v>1.2609564596716632E-4</v>
      </c>
      <c r="K142" s="14">
        <f t="shared" si="79"/>
        <v>16.059999999999999</v>
      </c>
      <c r="L142" s="14">
        <f t="shared" si="80"/>
        <v>1.7649939999999997</v>
      </c>
      <c r="M142" s="14">
        <f t="shared" si="81"/>
        <v>17.824993999999997</v>
      </c>
      <c r="N142" s="193">
        <f t="shared" si="82"/>
        <v>196.07493399999996</v>
      </c>
    </row>
    <row r="143" spans="1:14" ht="25.5" customHeight="1" x14ac:dyDescent="0.25">
      <c r="A143" s="92" t="s">
        <v>728</v>
      </c>
      <c r="B143" s="12" t="s">
        <v>257</v>
      </c>
      <c r="C143" s="11" t="s">
        <v>26</v>
      </c>
      <c r="D143" s="11" t="s">
        <v>258</v>
      </c>
      <c r="E143" s="13" t="s">
        <v>116</v>
      </c>
      <c r="F143" s="12">
        <v>4</v>
      </c>
      <c r="G143" s="14">
        <v>14.5</v>
      </c>
      <c r="H143" s="14">
        <v>17.75</v>
      </c>
      <c r="I143" s="14">
        <v>71</v>
      </c>
      <c r="J143" s="28">
        <v>5.0678087080656676E-5</v>
      </c>
      <c r="K143" s="14">
        <f t="shared" si="79"/>
        <v>17.75</v>
      </c>
      <c r="L143" s="14">
        <f t="shared" si="80"/>
        <v>1.950725</v>
      </c>
      <c r="M143" s="14">
        <f t="shared" si="81"/>
        <v>19.700724999999998</v>
      </c>
      <c r="N143" s="193">
        <f t="shared" si="82"/>
        <v>78.802899999999994</v>
      </c>
    </row>
    <row r="144" spans="1:14" ht="25.5" customHeight="1" x14ac:dyDescent="0.25">
      <c r="A144" s="92" t="s">
        <v>729</v>
      </c>
      <c r="B144" s="12" t="s">
        <v>259</v>
      </c>
      <c r="C144" s="11" t="s">
        <v>26</v>
      </c>
      <c r="D144" s="11" t="s">
        <v>260</v>
      </c>
      <c r="E144" s="13" t="s">
        <v>116</v>
      </c>
      <c r="F144" s="12">
        <v>69</v>
      </c>
      <c r="G144" s="14">
        <v>23.35</v>
      </c>
      <c r="H144" s="14">
        <v>28.59</v>
      </c>
      <c r="I144" s="14">
        <v>1972.71</v>
      </c>
      <c r="J144" s="28">
        <v>1.4080728051391862E-3</v>
      </c>
      <c r="K144" s="14">
        <f t="shared" si="79"/>
        <v>28.59</v>
      </c>
      <c r="L144" s="14">
        <f t="shared" si="80"/>
        <v>3.1420409999999999</v>
      </c>
      <c r="M144" s="14">
        <f t="shared" si="81"/>
        <v>31.732040999999999</v>
      </c>
      <c r="N144" s="193">
        <f t="shared" si="82"/>
        <v>2189.5108289999998</v>
      </c>
    </row>
    <row r="145" spans="1:14" ht="39" customHeight="1" x14ac:dyDescent="0.25">
      <c r="A145" s="92" t="s">
        <v>730</v>
      </c>
      <c r="B145" s="12" t="s">
        <v>261</v>
      </c>
      <c r="C145" s="11" t="s">
        <v>26</v>
      </c>
      <c r="D145" s="11" t="s">
        <v>262</v>
      </c>
      <c r="E145" s="13" t="s">
        <v>31</v>
      </c>
      <c r="F145" s="12">
        <v>14</v>
      </c>
      <c r="G145" s="14">
        <v>4.68</v>
      </c>
      <c r="H145" s="14">
        <v>5.73</v>
      </c>
      <c r="I145" s="14">
        <v>80.22</v>
      </c>
      <c r="J145" s="28">
        <v>5.7259100642398287E-5</v>
      </c>
      <c r="K145" s="14">
        <f t="shared" si="79"/>
        <v>5.73</v>
      </c>
      <c r="L145" s="14">
        <f t="shared" si="80"/>
        <v>0.62972700000000004</v>
      </c>
      <c r="M145" s="14">
        <f t="shared" si="81"/>
        <v>6.3597270000000004</v>
      </c>
      <c r="N145" s="193">
        <f t="shared" si="82"/>
        <v>89.036178000000007</v>
      </c>
    </row>
    <row r="146" spans="1:14" ht="14.25" customHeight="1" x14ac:dyDescent="0.25">
      <c r="A146" s="92" t="s">
        <v>731</v>
      </c>
      <c r="B146" s="12" t="s">
        <v>263</v>
      </c>
      <c r="C146" s="11" t="s">
        <v>26</v>
      </c>
      <c r="D146" s="11" t="s">
        <v>264</v>
      </c>
      <c r="E146" s="13" t="s">
        <v>31</v>
      </c>
      <c r="F146" s="12">
        <v>15</v>
      </c>
      <c r="G146" s="14">
        <v>3.46</v>
      </c>
      <c r="H146" s="14">
        <v>4.2300000000000004</v>
      </c>
      <c r="I146" s="14">
        <v>63.45</v>
      </c>
      <c r="J146" s="28">
        <v>4.5289079229122055E-5</v>
      </c>
      <c r="K146" s="14">
        <f t="shared" si="79"/>
        <v>4.2300000000000004</v>
      </c>
      <c r="L146" s="14">
        <f t="shared" si="80"/>
        <v>0.46487700000000004</v>
      </c>
      <c r="M146" s="14">
        <f t="shared" si="81"/>
        <v>4.6948770000000009</v>
      </c>
      <c r="N146" s="193">
        <f t="shared" si="82"/>
        <v>70.423155000000008</v>
      </c>
    </row>
    <row r="147" spans="1:14" ht="14.25" customHeight="1" x14ac:dyDescent="0.25">
      <c r="A147" s="92" t="s">
        <v>732</v>
      </c>
      <c r="B147" s="12" t="s">
        <v>265</v>
      </c>
      <c r="C147" s="11" t="s">
        <v>26</v>
      </c>
      <c r="D147" s="11" t="s">
        <v>266</v>
      </c>
      <c r="E147" s="13" t="s">
        <v>31</v>
      </c>
      <c r="F147" s="12">
        <v>42</v>
      </c>
      <c r="G147" s="14">
        <v>5.57</v>
      </c>
      <c r="H147" s="14">
        <v>6.82</v>
      </c>
      <c r="I147" s="14">
        <v>286.44</v>
      </c>
      <c r="J147" s="28">
        <v>2.0445396145610278E-4</v>
      </c>
      <c r="K147" s="14">
        <f t="shared" si="79"/>
        <v>6.82</v>
      </c>
      <c r="L147" s="14">
        <f t="shared" si="80"/>
        <v>0.74951800000000002</v>
      </c>
      <c r="M147" s="14">
        <f t="shared" si="81"/>
        <v>7.5695180000000004</v>
      </c>
      <c r="N147" s="193">
        <f t="shared" si="82"/>
        <v>317.91975600000001</v>
      </c>
    </row>
    <row r="148" spans="1:14" ht="14.25" customHeight="1" x14ac:dyDescent="0.25">
      <c r="A148" s="92" t="s">
        <v>733</v>
      </c>
      <c r="B148" s="12" t="s">
        <v>267</v>
      </c>
      <c r="C148" s="11" t="s">
        <v>26</v>
      </c>
      <c r="D148" s="11" t="s">
        <v>268</v>
      </c>
      <c r="E148" s="13" t="s">
        <v>31</v>
      </c>
      <c r="F148" s="12">
        <v>8</v>
      </c>
      <c r="G148" s="14">
        <v>9.2799999999999994</v>
      </c>
      <c r="H148" s="14">
        <v>11.36</v>
      </c>
      <c r="I148" s="14">
        <v>90.88</v>
      </c>
      <c r="J148" s="28">
        <v>6.4867951463240539E-5</v>
      </c>
      <c r="K148" s="14">
        <f t="shared" si="79"/>
        <v>11.36</v>
      </c>
      <c r="L148" s="14">
        <f t="shared" si="80"/>
        <v>1.248464</v>
      </c>
      <c r="M148" s="14">
        <f t="shared" si="81"/>
        <v>12.608464</v>
      </c>
      <c r="N148" s="193">
        <f t="shared" si="82"/>
        <v>100.867712</v>
      </c>
    </row>
    <row r="149" spans="1:14" ht="14.25" customHeight="1" x14ac:dyDescent="0.25">
      <c r="A149" s="92" t="s">
        <v>734</v>
      </c>
      <c r="B149" s="12" t="s">
        <v>269</v>
      </c>
      <c r="C149" s="11" t="s">
        <v>26</v>
      </c>
      <c r="D149" s="11" t="s">
        <v>270</v>
      </c>
      <c r="E149" s="13" t="s">
        <v>31</v>
      </c>
      <c r="F149" s="12">
        <v>2</v>
      </c>
      <c r="G149" s="14">
        <v>30.87</v>
      </c>
      <c r="H149" s="14">
        <v>37.799999999999997</v>
      </c>
      <c r="I149" s="14">
        <v>75.599999999999994</v>
      </c>
      <c r="J149" s="28">
        <v>5.3961456102783729E-5</v>
      </c>
      <c r="K149" s="14">
        <f t="shared" si="79"/>
        <v>37.799999999999997</v>
      </c>
      <c r="L149" s="14">
        <f t="shared" si="80"/>
        <v>4.1542199999999996</v>
      </c>
      <c r="M149" s="14">
        <f t="shared" si="81"/>
        <v>41.954219999999999</v>
      </c>
      <c r="N149" s="193">
        <f t="shared" si="82"/>
        <v>83.908439999999999</v>
      </c>
    </row>
    <row r="150" spans="1:14" ht="39" customHeight="1" x14ac:dyDescent="0.25">
      <c r="A150" s="92" t="s">
        <v>735</v>
      </c>
      <c r="B150" s="12" t="s">
        <v>271</v>
      </c>
      <c r="C150" s="11" t="s">
        <v>26</v>
      </c>
      <c r="D150" s="11" t="s">
        <v>272</v>
      </c>
      <c r="E150" s="13" t="s">
        <v>31</v>
      </c>
      <c r="F150" s="12">
        <v>2</v>
      </c>
      <c r="G150" s="14">
        <v>10.039999999999999</v>
      </c>
      <c r="H150" s="14">
        <v>12.29</v>
      </c>
      <c r="I150" s="14">
        <v>24.58</v>
      </c>
      <c r="J150" s="28">
        <v>1.7544610992148467E-5</v>
      </c>
      <c r="K150" s="14">
        <f t="shared" si="79"/>
        <v>12.29</v>
      </c>
      <c r="L150" s="14">
        <f t="shared" si="80"/>
        <v>1.350671</v>
      </c>
      <c r="M150" s="14">
        <f t="shared" si="81"/>
        <v>13.640670999999999</v>
      </c>
      <c r="N150" s="193">
        <f t="shared" si="82"/>
        <v>27.281341999999999</v>
      </c>
    </row>
    <row r="151" spans="1:14" ht="14.25" customHeight="1" x14ac:dyDescent="0.25">
      <c r="A151" s="92" t="s">
        <v>736</v>
      </c>
      <c r="B151" s="12" t="s">
        <v>273</v>
      </c>
      <c r="C151" s="11" t="s">
        <v>26</v>
      </c>
      <c r="D151" s="11" t="s">
        <v>274</v>
      </c>
      <c r="E151" s="13" t="s">
        <v>31</v>
      </c>
      <c r="F151" s="12">
        <v>1</v>
      </c>
      <c r="G151" s="14">
        <v>9.9600000000000009</v>
      </c>
      <c r="H151" s="14">
        <v>12.19</v>
      </c>
      <c r="I151" s="14">
        <v>12.19</v>
      </c>
      <c r="J151" s="28">
        <v>8.7009279086366884E-6</v>
      </c>
      <c r="K151" s="14">
        <f t="shared" si="79"/>
        <v>12.19</v>
      </c>
      <c r="L151" s="14">
        <f t="shared" si="80"/>
        <v>1.3396809999999999</v>
      </c>
      <c r="M151" s="14">
        <f t="shared" si="81"/>
        <v>13.529681</v>
      </c>
      <c r="N151" s="193">
        <f t="shared" si="82"/>
        <v>13.529681</v>
      </c>
    </row>
    <row r="152" spans="1:14" ht="14.25" customHeight="1" x14ac:dyDescent="0.25">
      <c r="A152" s="92" t="s">
        <v>737</v>
      </c>
      <c r="B152" s="12" t="s">
        <v>275</v>
      </c>
      <c r="C152" s="11" t="s">
        <v>26</v>
      </c>
      <c r="D152" s="11" t="s">
        <v>276</v>
      </c>
      <c r="E152" s="13" t="s">
        <v>31</v>
      </c>
      <c r="F152" s="12">
        <v>2</v>
      </c>
      <c r="G152" s="14">
        <v>21.88</v>
      </c>
      <c r="H152" s="14">
        <v>26.79</v>
      </c>
      <c r="I152" s="14">
        <v>53.58</v>
      </c>
      <c r="J152" s="28">
        <v>3.8244111349036405E-5</v>
      </c>
      <c r="K152" s="14">
        <f t="shared" si="79"/>
        <v>26.79</v>
      </c>
      <c r="L152" s="14">
        <f t="shared" si="80"/>
        <v>2.9442209999999998</v>
      </c>
      <c r="M152" s="14">
        <f t="shared" si="81"/>
        <v>29.734220999999998</v>
      </c>
      <c r="N152" s="193">
        <f t="shared" si="82"/>
        <v>59.468441999999996</v>
      </c>
    </row>
    <row r="153" spans="1:14" ht="14.25" customHeight="1" x14ac:dyDescent="0.25">
      <c r="A153" s="92" t="s">
        <v>738</v>
      </c>
      <c r="B153" s="12" t="s">
        <v>277</v>
      </c>
      <c r="C153" s="11" t="s">
        <v>26</v>
      </c>
      <c r="D153" s="11" t="s">
        <v>278</v>
      </c>
      <c r="E153" s="13" t="s">
        <v>31</v>
      </c>
      <c r="F153" s="12">
        <v>5</v>
      </c>
      <c r="G153" s="14">
        <v>14.28</v>
      </c>
      <c r="H153" s="14">
        <v>17.48</v>
      </c>
      <c r="I153" s="14">
        <v>87.4</v>
      </c>
      <c r="J153" s="28">
        <v>6.238401142041399E-5</v>
      </c>
      <c r="K153" s="14">
        <f t="shared" si="79"/>
        <v>17.48</v>
      </c>
      <c r="L153" s="14">
        <f t="shared" si="80"/>
        <v>1.921052</v>
      </c>
      <c r="M153" s="14">
        <f t="shared" si="81"/>
        <v>19.401052</v>
      </c>
      <c r="N153" s="193">
        <f t="shared" si="82"/>
        <v>97.005259999999993</v>
      </c>
    </row>
    <row r="154" spans="1:14" ht="14.25" customHeight="1" x14ac:dyDescent="0.25">
      <c r="A154" s="92" t="s">
        <v>739</v>
      </c>
      <c r="B154" s="12" t="s">
        <v>279</v>
      </c>
      <c r="C154" s="11" t="s">
        <v>26</v>
      </c>
      <c r="D154" s="11" t="s">
        <v>280</v>
      </c>
      <c r="E154" s="13" t="s">
        <v>31</v>
      </c>
      <c r="F154" s="12">
        <v>2</v>
      </c>
      <c r="G154" s="14">
        <v>45.44</v>
      </c>
      <c r="H154" s="14">
        <v>55.65</v>
      </c>
      <c r="I154" s="14">
        <v>111.3</v>
      </c>
      <c r="J154" s="28">
        <v>7.944325481798715E-5</v>
      </c>
      <c r="K154" s="14">
        <f t="shared" si="79"/>
        <v>55.65</v>
      </c>
      <c r="L154" s="14">
        <f t="shared" si="80"/>
        <v>6.1159349999999995</v>
      </c>
      <c r="M154" s="14">
        <f t="shared" si="81"/>
        <v>61.765934999999999</v>
      </c>
      <c r="N154" s="193">
        <f t="shared" si="82"/>
        <v>123.53187</v>
      </c>
    </row>
    <row r="155" spans="1:14" ht="14.25" customHeight="1" x14ac:dyDescent="0.25">
      <c r="A155" s="92" t="s">
        <v>740</v>
      </c>
      <c r="B155" s="12" t="s">
        <v>281</v>
      </c>
      <c r="C155" s="11" t="s">
        <v>26</v>
      </c>
      <c r="D155" s="11" t="s">
        <v>282</v>
      </c>
      <c r="E155" s="13" t="s">
        <v>31</v>
      </c>
      <c r="F155" s="12">
        <v>6</v>
      </c>
      <c r="G155" s="14">
        <v>6.56</v>
      </c>
      <c r="H155" s="14">
        <v>8.0299999999999994</v>
      </c>
      <c r="I155" s="14">
        <v>48.18</v>
      </c>
      <c r="J155" s="28">
        <v>3.4389721627408991E-5</v>
      </c>
      <c r="K155" s="14">
        <f t="shared" si="79"/>
        <v>8.0299999999999994</v>
      </c>
      <c r="L155" s="14">
        <f t="shared" si="80"/>
        <v>0.88249699999999986</v>
      </c>
      <c r="M155" s="14">
        <f t="shared" si="81"/>
        <v>8.9124969999999983</v>
      </c>
      <c r="N155" s="193">
        <f t="shared" si="82"/>
        <v>53.47498199999999</v>
      </c>
    </row>
    <row r="156" spans="1:14" ht="25.5" customHeight="1" x14ac:dyDescent="0.25">
      <c r="A156" s="92" t="s">
        <v>741</v>
      </c>
      <c r="B156" s="12" t="s">
        <v>283</v>
      </c>
      <c r="C156" s="11" t="s">
        <v>26</v>
      </c>
      <c r="D156" s="11" t="s">
        <v>284</v>
      </c>
      <c r="E156" s="13" t="s">
        <v>31</v>
      </c>
      <c r="F156" s="12">
        <v>4</v>
      </c>
      <c r="G156" s="14">
        <v>4.92</v>
      </c>
      <c r="H156" s="14">
        <v>6.02</v>
      </c>
      <c r="I156" s="14">
        <v>24.08</v>
      </c>
      <c r="J156" s="28">
        <v>1.7187723054960743E-5</v>
      </c>
      <c r="K156" s="14">
        <f t="shared" si="79"/>
        <v>6.02</v>
      </c>
      <c r="L156" s="14">
        <f t="shared" si="80"/>
        <v>0.66159799999999991</v>
      </c>
      <c r="M156" s="14">
        <f t="shared" si="81"/>
        <v>6.6815979999999993</v>
      </c>
      <c r="N156" s="193">
        <f t="shared" si="82"/>
        <v>26.726391999999997</v>
      </c>
    </row>
    <row r="157" spans="1:14" ht="25.5" customHeight="1" x14ac:dyDescent="0.25">
      <c r="A157" s="92" t="s">
        <v>742</v>
      </c>
      <c r="B157" s="12" t="s">
        <v>285</v>
      </c>
      <c r="C157" s="11" t="s">
        <v>26</v>
      </c>
      <c r="D157" s="11" t="s">
        <v>286</v>
      </c>
      <c r="E157" s="13" t="s">
        <v>31</v>
      </c>
      <c r="F157" s="12">
        <v>1</v>
      </c>
      <c r="G157" s="14">
        <v>13.69</v>
      </c>
      <c r="H157" s="14">
        <v>16.760000000000002</v>
      </c>
      <c r="I157" s="14">
        <v>16.760000000000002</v>
      </c>
      <c r="J157" s="28">
        <v>1.1962883654532478E-5</v>
      </c>
      <c r="K157" s="14">
        <f t="shared" si="79"/>
        <v>16.760000000000002</v>
      </c>
      <c r="L157" s="14">
        <f t="shared" si="80"/>
        <v>1.8419240000000001</v>
      </c>
      <c r="M157" s="14">
        <f t="shared" si="81"/>
        <v>18.601924</v>
      </c>
      <c r="N157" s="193">
        <f t="shared" si="82"/>
        <v>18.601924</v>
      </c>
    </row>
    <row r="158" spans="1:14" ht="25.5" customHeight="1" x14ac:dyDescent="0.25">
      <c r="A158" s="92" t="s">
        <v>743</v>
      </c>
      <c r="B158" s="12" t="s">
        <v>287</v>
      </c>
      <c r="C158" s="11" t="s">
        <v>26</v>
      </c>
      <c r="D158" s="11" t="s">
        <v>288</v>
      </c>
      <c r="E158" s="13" t="s">
        <v>31</v>
      </c>
      <c r="F158" s="12">
        <v>8</v>
      </c>
      <c r="G158" s="14">
        <v>35.18</v>
      </c>
      <c r="H158" s="14">
        <v>43.08</v>
      </c>
      <c r="I158" s="14">
        <v>344.64</v>
      </c>
      <c r="J158" s="28">
        <v>2.4599571734475374E-4</v>
      </c>
      <c r="K158" s="14">
        <f t="shared" si="79"/>
        <v>43.08</v>
      </c>
      <c r="L158" s="14">
        <f t="shared" si="80"/>
        <v>4.7344919999999995</v>
      </c>
      <c r="M158" s="14">
        <f t="shared" si="81"/>
        <v>47.814492000000001</v>
      </c>
      <c r="N158" s="193">
        <f t="shared" si="82"/>
        <v>382.51593600000001</v>
      </c>
    </row>
    <row r="159" spans="1:14" ht="25.5" customHeight="1" x14ac:dyDescent="0.25">
      <c r="A159" s="92" t="s">
        <v>744</v>
      </c>
      <c r="B159" s="12" t="s">
        <v>289</v>
      </c>
      <c r="C159" s="11" t="s">
        <v>26</v>
      </c>
      <c r="D159" s="11" t="s">
        <v>290</v>
      </c>
      <c r="E159" s="13" t="s">
        <v>31</v>
      </c>
      <c r="F159" s="12">
        <v>4</v>
      </c>
      <c r="G159" s="14">
        <v>50.42</v>
      </c>
      <c r="H159" s="14">
        <v>61.74</v>
      </c>
      <c r="I159" s="14">
        <v>246.96</v>
      </c>
      <c r="J159" s="28">
        <v>1.7627408993576017E-4</v>
      </c>
      <c r="K159" s="14">
        <f t="shared" si="79"/>
        <v>61.74</v>
      </c>
      <c r="L159" s="14">
        <f t="shared" si="80"/>
        <v>6.7852259999999998</v>
      </c>
      <c r="M159" s="14">
        <f t="shared" si="81"/>
        <v>68.525226000000004</v>
      </c>
      <c r="N159" s="193">
        <f t="shared" si="82"/>
        <v>274.10090400000001</v>
      </c>
    </row>
    <row r="160" spans="1:14" ht="25.5" customHeight="1" x14ac:dyDescent="0.25">
      <c r="A160" s="92" t="s">
        <v>745</v>
      </c>
      <c r="B160" s="12" t="s">
        <v>291</v>
      </c>
      <c r="C160" s="11" t="s">
        <v>26</v>
      </c>
      <c r="D160" s="11" t="s">
        <v>292</v>
      </c>
      <c r="E160" s="13" t="s">
        <v>31</v>
      </c>
      <c r="F160" s="12">
        <v>2</v>
      </c>
      <c r="G160" s="14">
        <v>68.72</v>
      </c>
      <c r="H160" s="14">
        <v>84.16</v>
      </c>
      <c r="I160" s="14">
        <v>168.32</v>
      </c>
      <c r="J160" s="28">
        <v>1.2014275517487508E-4</v>
      </c>
      <c r="K160" s="14">
        <f t="shared" si="79"/>
        <v>84.16</v>
      </c>
      <c r="L160" s="14">
        <f t="shared" si="80"/>
        <v>9.2491839999999996</v>
      </c>
      <c r="M160" s="14">
        <f t="shared" si="81"/>
        <v>93.409183999999996</v>
      </c>
      <c r="N160" s="193">
        <f t="shared" si="82"/>
        <v>186.81836799999999</v>
      </c>
    </row>
    <row r="161" spans="1:14" ht="25.5" customHeight="1" x14ac:dyDescent="0.25">
      <c r="A161" s="92" t="s">
        <v>746</v>
      </c>
      <c r="B161" s="12" t="s">
        <v>293</v>
      </c>
      <c r="C161" s="11" t="s">
        <v>26</v>
      </c>
      <c r="D161" s="11" t="s">
        <v>294</v>
      </c>
      <c r="E161" s="13" t="s">
        <v>31</v>
      </c>
      <c r="F161" s="12">
        <v>1</v>
      </c>
      <c r="G161" s="14">
        <v>87.01</v>
      </c>
      <c r="H161" s="14">
        <v>106.56</v>
      </c>
      <c r="I161" s="14">
        <v>106.56</v>
      </c>
      <c r="J161" s="28">
        <v>7.6059957173447542E-5</v>
      </c>
      <c r="K161" s="14">
        <f t="shared" si="79"/>
        <v>106.56</v>
      </c>
      <c r="L161" s="14">
        <f t="shared" si="80"/>
        <v>11.710944</v>
      </c>
      <c r="M161" s="14">
        <f t="shared" si="81"/>
        <v>118.270944</v>
      </c>
      <c r="N161" s="193">
        <f t="shared" si="82"/>
        <v>118.270944</v>
      </c>
    </row>
    <row r="162" spans="1:14" ht="25.5" customHeight="1" x14ac:dyDescent="0.25">
      <c r="A162" s="92" t="s">
        <v>747</v>
      </c>
      <c r="B162" s="12" t="s">
        <v>295</v>
      </c>
      <c r="C162" s="11" t="s">
        <v>26</v>
      </c>
      <c r="D162" s="11" t="s">
        <v>296</v>
      </c>
      <c r="E162" s="13" t="s">
        <v>31</v>
      </c>
      <c r="F162" s="12">
        <v>1</v>
      </c>
      <c r="G162" s="14">
        <v>120.31</v>
      </c>
      <c r="H162" s="14">
        <v>147.34</v>
      </c>
      <c r="I162" s="14">
        <v>147.34</v>
      </c>
      <c r="J162" s="28">
        <v>1.0516773733047823E-4</v>
      </c>
      <c r="K162" s="14">
        <f t="shared" si="79"/>
        <v>147.34</v>
      </c>
      <c r="L162" s="14">
        <f t="shared" si="80"/>
        <v>16.192665999999999</v>
      </c>
      <c r="M162" s="14">
        <f t="shared" si="81"/>
        <v>163.53266600000001</v>
      </c>
      <c r="N162" s="193">
        <f t="shared" si="82"/>
        <v>163.53266600000001</v>
      </c>
    </row>
    <row r="163" spans="1:14" ht="25.5" customHeight="1" x14ac:dyDescent="0.25">
      <c r="A163" s="92" t="s">
        <v>748</v>
      </c>
      <c r="B163" s="12" t="s">
        <v>297</v>
      </c>
      <c r="C163" s="11" t="s">
        <v>26</v>
      </c>
      <c r="D163" s="11" t="s">
        <v>298</v>
      </c>
      <c r="E163" s="13" t="s">
        <v>31</v>
      </c>
      <c r="F163" s="12">
        <v>2</v>
      </c>
      <c r="G163" s="14">
        <v>241.42</v>
      </c>
      <c r="H163" s="14">
        <v>295.66000000000003</v>
      </c>
      <c r="I163" s="14">
        <v>591.32000000000005</v>
      </c>
      <c r="J163" s="28">
        <v>4.220699500356888E-4</v>
      </c>
      <c r="K163" s="14">
        <f t="shared" si="79"/>
        <v>295.66000000000003</v>
      </c>
      <c r="L163" s="14">
        <f t="shared" si="80"/>
        <v>32.493034000000002</v>
      </c>
      <c r="M163" s="14">
        <f t="shared" si="81"/>
        <v>328.15303400000005</v>
      </c>
      <c r="N163" s="193">
        <f t="shared" si="82"/>
        <v>656.3060680000001</v>
      </c>
    </row>
    <row r="164" spans="1:14" ht="39" customHeight="1" x14ac:dyDescent="0.25">
      <c r="A164" s="92" t="s">
        <v>749</v>
      </c>
      <c r="B164" s="12" t="s">
        <v>299</v>
      </c>
      <c r="C164" s="11" t="s">
        <v>26</v>
      </c>
      <c r="D164" s="11" t="s">
        <v>300</v>
      </c>
      <c r="E164" s="13" t="s">
        <v>31</v>
      </c>
      <c r="F164" s="12">
        <v>1</v>
      </c>
      <c r="G164" s="14">
        <v>73.61</v>
      </c>
      <c r="H164" s="14">
        <v>90.15</v>
      </c>
      <c r="I164" s="14">
        <v>90.15</v>
      </c>
      <c r="J164" s="28">
        <v>6.4346895074946463E-5</v>
      </c>
      <c r="K164" s="14">
        <f t="shared" si="79"/>
        <v>90.15</v>
      </c>
      <c r="L164" s="14">
        <f t="shared" si="80"/>
        <v>9.9074850000000012</v>
      </c>
      <c r="M164" s="14">
        <f t="shared" si="81"/>
        <v>100.05748500000001</v>
      </c>
      <c r="N164" s="193">
        <f t="shared" si="82"/>
        <v>100.05748500000001</v>
      </c>
    </row>
    <row r="165" spans="1:14" ht="25.5" customHeight="1" x14ac:dyDescent="0.25">
      <c r="A165" s="92" t="s">
        <v>750</v>
      </c>
      <c r="B165" s="12" t="s">
        <v>301</v>
      </c>
      <c r="C165" s="11" t="s">
        <v>109</v>
      </c>
      <c r="D165" s="11" t="s">
        <v>302</v>
      </c>
      <c r="E165" s="13" t="s">
        <v>31</v>
      </c>
      <c r="F165" s="12">
        <v>1</v>
      </c>
      <c r="G165" s="14">
        <v>23144.81</v>
      </c>
      <c r="H165" s="14">
        <v>28345.439999999999</v>
      </c>
      <c r="I165" s="14">
        <v>28345.439999999999</v>
      </c>
      <c r="J165" s="28">
        <v>2.0232291220556746E-2</v>
      </c>
      <c r="K165" s="14">
        <f t="shared" si="79"/>
        <v>28345.439999999999</v>
      </c>
      <c r="L165" s="14">
        <f t="shared" si="80"/>
        <v>3115.1638559999997</v>
      </c>
      <c r="M165" s="14">
        <f t="shared" si="81"/>
        <v>31460.603855999998</v>
      </c>
      <c r="N165" s="193">
        <f t="shared" si="82"/>
        <v>31460.603855999998</v>
      </c>
    </row>
    <row r="166" spans="1:14" ht="14.25" customHeight="1" x14ac:dyDescent="0.25">
      <c r="A166" s="91" t="s">
        <v>303</v>
      </c>
      <c r="B166" s="8"/>
      <c r="C166" s="8"/>
      <c r="D166" s="8" t="s">
        <v>304</v>
      </c>
      <c r="E166" s="8"/>
      <c r="F166" s="9"/>
      <c r="G166" s="8"/>
      <c r="H166" s="8"/>
      <c r="I166" s="10">
        <v>32744.34</v>
      </c>
      <c r="J166" s="27">
        <v>2.3372119914346894E-2</v>
      </c>
      <c r="K166" s="8"/>
      <c r="L166" s="8"/>
      <c r="M166" s="8"/>
      <c r="N166" s="198">
        <f>SUM(N167:N184)</f>
        <v>36342.94651768</v>
      </c>
    </row>
    <row r="167" spans="1:14" ht="39" customHeight="1" x14ac:dyDescent="0.25">
      <c r="A167" s="92" t="s">
        <v>751</v>
      </c>
      <c r="B167" s="12" t="s">
        <v>305</v>
      </c>
      <c r="C167" s="11" t="s">
        <v>26</v>
      </c>
      <c r="D167" s="11" t="s">
        <v>306</v>
      </c>
      <c r="E167" s="13" t="s">
        <v>116</v>
      </c>
      <c r="F167" s="12">
        <v>28</v>
      </c>
      <c r="G167" s="14">
        <v>14.67</v>
      </c>
      <c r="H167" s="14">
        <v>17.96</v>
      </c>
      <c r="I167" s="14">
        <v>502.88</v>
      </c>
      <c r="J167" s="28">
        <v>3.5894361170592433E-4</v>
      </c>
      <c r="K167" s="14">
        <f t="shared" ref="K167:K184" si="83">H167</f>
        <v>17.96</v>
      </c>
      <c r="L167" s="14">
        <f t="shared" ref="L167:L184" si="84">K167*10.99%</f>
        <v>1.9738040000000001</v>
      </c>
      <c r="M167" s="14">
        <f t="shared" ref="M167:M184" si="85">K167+L167</f>
        <v>19.933804000000002</v>
      </c>
      <c r="N167" s="193">
        <f t="shared" ref="N167:N184" si="86">F167*M167</f>
        <v>558.14651200000003</v>
      </c>
    </row>
    <row r="168" spans="1:14" ht="39" customHeight="1" x14ac:dyDescent="0.25">
      <c r="A168" s="92" t="s">
        <v>752</v>
      </c>
      <c r="B168" s="12" t="s">
        <v>307</v>
      </c>
      <c r="C168" s="11" t="s">
        <v>26</v>
      </c>
      <c r="D168" s="11" t="s">
        <v>308</v>
      </c>
      <c r="E168" s="13" t="s">
        <v>116</v>
      </c>
      <c r="F168" s="12">
        <v>25</v>
      </c>
      <c r="G168" s="14">
        <v>18.93</v>
      </c>
      <c r="H168" s="14">
        <v>23.18</v>
      </c>
      <c r="I168" s="14">
        <v>579.5</v>
      </c>
      <c r="J168" s="28">
        <v>4.1363311920057102E-4</v>
      </c>
      <c r="K168" s="14">
        <f t="shared" si="83"/>
        <v>23.18</v>
      </c>
      <c r="L168" s="14">
        <f t="shared" si="84"/>
        <v>2.547482</v>
      </c>
      <c r="M168" s="14">
        <f t="shared" si="85"/>
        <v>25.727481999999998</v>
      </c>
      <c r="N168" s="193">
        <f t="shared" si="86"/>
        <v>643.18705</v>
      </c>
    </row>
    <row r="169" spans="1:14" ht="39" customHeight="1" x14ac:dyDescent="0.25">
      <c r="A169" s="92" t="s">
        <v>753</v>
      </c>
      <c r="B169" s="12" t="s">
        <v>309</v>
      </c>
      <c r="C169" s="11" t="s">
        <v>26</v>
      </c>
      <c r="D169" s="11" t="s">
        <v>310</v>
      </c>
      <c r="E169" s="13" t="s">
        <v>116</v>
      </c>
      <c r="F169" s="12">
        <v>77</v>
      </c>
      <c r="G169" s="14">
        <v>19.78</v>
      </c>
      <c r="H169" s="14">
        <v>24.22</v>
      </c>
      <c r="I169" s="14">
        <v>1864.94</v>
      </c>
      <c r="J169" s="28">
        <v>1.3311491791577444E-3</v>
      </c>
      <c r="K169" s="14">
        <f t="shared" si="83"/>
        <v>24.22</v>
      </c>
      <c r="L169" s="14">
        <f t="shared" si="84"/>
        <v>2.661778</v>
      </c>
      <c r="M169" s="14">
        <f t="shared" si="85"/>
        <v>26.881777999999997</v>
      </c>
      <c r="N169" s="193">
        <f t="shared" si="86"/>
        <v>2069.8969059999999</v>
      </c>
    </row>
    <row r="170" spans="1:14" ht="14.25" customHeight="1" x14ac:dyDescent="0.25">
      <c r="A170" s="92" t="s">
        <v>754</v>
      </c>
      <c r="B170" s="12" t="s">
        <v>311</v>
      </c>
      <c r="C170" s="11" t="s">
        <v>26</v>
      </c>
      <c r="D170" s="11" t="s">
        <v>312</v>
      </c>
      <c r="E170" s="13" t="s">
        <v>116</v>
      </c>
      <c r="F170" s="12">
        <v>2</v>
      </c>
      <c r="G170" s="14">
        <v>41.63</v>
      </c>
      <c r="H170" s="14">
        <v>50.98</v>
      </c>
      <c r="I170" s="14">
        <v>101.96</v>
      </c>
      <c r="J170" s="28">
        <v>7.2776588151320489E-5</v>
      </c>
      <c r="K170" s="14">
        <f t="shared" si="83"/>
        <v>50.98</v>
      </c>
      <c r="L170" s="14">
        <f t="shared" si="84"/>
        <v>5.6027019999999998</v>
      </c>
      <c r="M170" s="14">
        <f t="shared" si="85"/>
        <v>56.582701999999998</v>
      </c>
      <c r="N170" s="193">
        <f t="shared" si="86"/>
        <v>113.165404</v>
      </c>
    </row>
    <row r="171" spans="1:14" ht="14.25" customHeight="1" x14ac:dyDescent="0.25">
      <c r="A171" s="92" t="s">
        <v>755</v>
      </c>
      <c r="B171" s="12" t="s">
        <v>313</v>
      </c>
      <c r="C171" s="11" t="s">
        <v>26</v>
      </c>
      <c r="D171" s="11" t="s">
        <v>314</v>
      </c>
      <c r="E171" s="13" t="s">
        <v>31</v>
      </c>
      <c r="F171" s="12">
        <v>4</v>
      </c>
      <c r="G171" s="14">
        <v>6.87</v>
      </c>
      <c r="H171" s="14">
        <v>8.41</v>
      </c>
      <c r="I171" s="14">
        <v>33.64</v>
      </c>
      <c r="J171" s="28">
        <v>2.4011420413990006E-5</v>
      </c>
      <c r="K171" s="14">
        <f t="shared" si="83"/>
        <v>8.41</v>
      </c>
      <c r="L171" s="14">
        <f t="shared" si="84"/>
        <v>0.92425899999999994</v>
      </c>
      <c r="M171" s="14">
        <f t="shared" si="85"/>
        <v>9.3342589999999994</v>
      </c>
      <c r="N171" s="193">
        <f t="shared" si="86"/>
        <v>37.337035999999998</v>
      </c>
    </row>
    <row r="172" spans="1:14" ht="14.25" customHeight="1" x14ac:dyDescent="0.25">
      <c r="A172" s="92" t="s">
        <v>756</v>
      </c>
      <c r="B172" s="12" t="s">
        <v>315</v>
      </c>
      <c r="C172" s="11" t="s">
        <v>26</v>
      </c>
      <c r="D172" s="11" t="s">
        <v>316</v>
      </c>
      <c r="E172" s="13" t="s">
        <v>31</v>
      </c>
      <c r="F172" s="12">
        <v>20</v>
      </c>
      <c r="G172" s="14">
        <v>6.69</v>
      </c>
      <c r="H172" s="14">
        <v>8.19</v>
      </c>
      <c r="I172" s="14">
        <v>163.80000000000001</v>
      </c>
      <c r="J172" s="28">
        <v>1.1691648822269807E-4</v>
      </c>
      <c r="K172" s="14">
        <f t="shared" si="83"/>
        <v>8.19</v>
      </c>
      <c r="L172" s="14">
        <f t="shared" si="84"/>
        <v>0.90008099999999991</v>
      </c>
      <c r="M172" s="14">
        <f t="shared" si="85"/>
        <v>9.0900809999999996</v>
      </c>
      <c r="N172" s="193">
        <f t="shared" si="86"/>
        <v>181.80161999999999</v>
      </c>
    </row>
    <row r="173" spans="1:14" ht="14.25" customHeight="1" x14ac:dyDescent="0.25">
      <c r="A173" s="92" t="s">
        <v>757</v>
      </c>
      <c r="B173" s="12" t="s">
        <v>317</v>
      </c>
      <c r="C173" s="11" t="s">
        <v>26</v>
      </c>
      <c r="D173" s="11" t="s">
        <v>318</v>
      </c>
      <c r="E173" s="13" t="s">
        <v>31</v>
      </c>
      <c r="F173" s="12">
        <v>8</v>
      </c>
      <c r="G173" s="14">
        <v>20.100000000000001</v>
      </c>
      <c r="H173" s="14">
        <v>24.61</v>
      </c>
      <c r="I173" s="14">
        <v>196.88</v>
      </c>
      <c r="J173" s="28">
        <v>1.4052819414703784E-4</v>
      </c>
      <c r="K173" s="14">
        <f t="shared" si="83"/>
        <v>24.61</v>
      </c>
      <c r="L173" s="14">
        <f t="shared" si="84"/>
        <v>2.7046389999999998</v>
      </c>
      <c r="M173" s="14">
        <f t="shared" si="85"/>
        <v>27.314639</v>
      </c>
      <c r="N173" s="193">
        <f t="shared" si="86"/>
        <v>218.517112</v>
      </c>
    </row>
    <row r="174" spans="1:14" ht="14.25" customHeight="1" x14ac:dyDescent="0.25">
      <c r="A174" s="92" t="s">
        <v>758</v>
      </c>
      <c r="B174" s="12" t="s">
        <v>319</v>
      </c>
      <c r="C174" s="11" t="s">
        <v>26</v>
      </c>
      <c r="D174" s="11" t="s">
        <v>320</v>
      </c>
      <c r="E174" s="13" t="s">
        <v>31</v>
      </c>
      <c r="F174" s="12">
        <v>9</v>
      </c>
      <c r="G174" s="14">
        <v>9.84</v>
      </c>
      <c r="H174" s="14">
        <v>12.05</v>
      </c>
      <c r="I174" s="14">
        <v>108.45</v>
      </c>
      <c r="J174" s="28">
        <v>7.740899357601713E-5</v>
      </c>
      <c r="K174" s="14">
        <f t="shared" si="83"/>
        <v>12.05</v>
      </c>
      <c r="L174" s="14">
        <f t="shared" si="84"/>
        <v>1.324295</v>
      </c>
      <c r="M174" s="14">
        <f t="shared" si="85"/>
        <v>13.374295</v>
      </c>
      <c r="N174" s="193">
        <f t="shared" si="86"/>
        <v>120.368655</v>
      </c>
    </row>
    <row r="175" spans="1:14" ht="14.25" customHeight="1" x14ac:dyDescent="0.25">
      <c r="A175" s="92" t="s">
        <v>759</v>
      </c>
      <c r="B175" s="12" t="s">
        <v>321</v>
      </c>
      <c r="C175" s="11" t="s">
        <v>26</v>
      </c>
      <c r="D175" s="11" t="s">
        <v>322</v>
      </c>
      <c r="E175" s="13" t="s">
        <v>31</v>
      </c>
      <c r="F175" s="12">
        <v>5</v>
      </c>
      <c r="G175" s="14">
        <v>37.93</v>
      </c>
      <c r="H175" s="14">
        <v>46.45</v>
      </c>
      <c r="I175" s="14">
        <v>232.25</v>
      </c>
      <c r="J175" s="28">
        <v>1.6577444682369736E-4</v>
      </c>
      <c r="K175" s="14">
        <f t="shared" si="83"/>
        <v>46.45</v>
      </c>
      <c r="L175" s="14">
        <f t="shared" si="84"/>
        <v>5.1048550000000006</v>
      </c>
      <c r="M175" s="14">
        <f t="shared" si="85"/>
        <v>51.554855000000003</v>
      </c>
      <c r="N175" s="193">
        <f t="shared" si="86"/>
        <v>257.77427499999999</v>
      </c>
    </row>
    <row r="176" spans="1:14" ht="14.25" customHeight="1" x14ac:dyDescent="0.25">
      <c r="A176" s="92" t="s">
        <v>760</v>
      </c>
      <c r="B176" s="12" t="s">
        <v>321</v>
      </c>
      <c r="C176" s="11" t="s">
        <v>26</v>
      </c>
      <c r="D176" s="11" t="s">
        <v>322</v>
      </c>
      <c r="E176" s="13" t="s">
        <v>31</v>
      </c>
      <c r="F176" s="12">
        <v>3</v>
      </c>
      <c r="G176" s="14">
        <v>37.93</v>
      </c>
      <c r="H176" s="14">
        <v>46.45</v>
      </c>
      <c r="I176" s="14">
        <v>139.35</v>
      </c>
      <c r="J176" s="28">
        <v>9.9464668094218411E-5</v>
      </c>
      <c r="K176" s="14">
        <f t="shared" si="83"/>
        <v>46.45</v>
      </c>
      <c r="L176" s="14">
        <f t="shared" si="84"/>
        <v>5.1048550000000006</v>
      </c>
      <c r="M176" s="14">
        <f t="shared" si="85"/>
        <v>51.554855000000003</v>
      </c>
      <c r="N176" s="193">
        <f t="shared" si="86"/>
        <v>154.66456500000001</v>
      </c>
    </row>
    <row r="177" spans="1:14" ht="39" customHeight="1" x14ac:dyDescent="0.25">
      <c r="A177" s="92" t="s">
        <v>761</v>
      </c>
      <c r="B177" s="12" t="s">
        <v>323</v>
      </c>
      <c r="C177" s="11" t="s">
        <v>26</v>
      </c>
      <c r="D177" s="11" t="s">
        <v>324</v>
      </c>
      <c r="E177" s="13" t="s">
        <v>31</v>
      </c>
      <c r="F177" s="12">
        <v>4</v>
      </c>
      <c r="G177" s="14">
        <v>29.8</v>
      </c>
      <c r="H177" s="14">
        <v>36.49</v>
      </c>
      <c r="I177" s="14">
        <v>145.96</v>
      </c>
      <c r="J177" s="28">
        <v>1.0418272662384012E-4</v>
      </c>
      <c r="K177" s="14">
        <f t="shared" si="83"/>
        <v>36.49</v>
      </c>
      <c r="L177" s="14">
        <f t="shared" si="84"/>
        <v>4.0102510000000002</v>
      </c>
      <c r="M177" s="14">
        <f t="shared" si="85"/>
        <v>40.500251000000006</v>
      </c>
      <c r="N177" s="193">
        <f t="shared" si="86"/>
        <v>162.00100400000002</v>
      </c>
    </row>
    <row r="178" spans="1:14" ht="39" customHeight="1" x14ac:dyDescent="0.25">
      <c r="A178" s="92" t="s">
        <v>762</v>
      </c>
      <c r="B178" s="12" t="s">
        <v>325</v>
      </c>
      <c r="C178" s="11" t="s">
        <v>26</v>
      </c>
      <c r="D178" s="11" t="s">
        <v>326</v>
      </c>
      <c r="E178" s="13" t="s">
        <v>31</v>
      </c>
      <c r="F178" s="12">
        <v>4</v>
      </c>
      <c r="G178" s="14">
        <v>12.87</v>
      </c>
      <c r="H178" s="14">
        <v>15.76</v>
      </c>
      <c r="I178" s="14">
        <v>63.04</v>
      </c>
      <c r="J178" s="28">
        <v>4.4996431120628123E-5</v>
      </c>
      <c r="K178" s="14">
        <f t="shared" si="83"/>
        <v>15.76</v>
      </c>
      <c r="L178" s="14">
        <f t="shared" si="84"/>
        <v>1.732024</v>
      </c>
      <c r="M178" s="14">
        <f t="shared" si="85"/>
        <v>17.492024000000001</v>
      </c>
      <c r="N178" s="193">
        <f t="shared" si="86"/>
        <v>69.968096000000003</v>
      </c>
    </row>
    <row r="179" spans="1:14" ht="25.5" customHeight="1" x14ac:dyDescent="0.25">
      <c r="A179" s="92" t="s">
        <v>763</v>
      </c>
      <c r="B179" s="12" t="s">
        <v>327</v>
      </c>
      <c r="C179" s="11" t="s">
        <v>29</v>
      </c>
      <c r="D179" s="11" t="s">
        <v>328</v>
      </c>
      <c r="E179" s="13" t="s">
        <v>31</v>
      </c>
      <c r="F179" s="12">
        <v>4</v>
      </c>
      <c r="G179" s="14">
        <v>41.98</v>
      </c>
      <c r="H179" s="14">
        <v>51.41</v>
      </c>
      <c r="I179" s="14">
        <v>205.64</v>
      </c>
      <c r="J179" s="28">
        <v>1.4678087080656675E-4</v>
      </c>
      <c r="K179" s="14">
        <f t="shared" si="83"/>
        <v>51.41</v>
      </c>
      <c r="L179" s="14">
        <f t="shared" si="84"/>
        <v>5.6499589999999991</v>
      </c>
      <c r="M179" s="14">
        <f t="shared" si="85"/>
        <v>57.059958999999992</v>
      </c>
      <c r="N179" s="193">
        <f t="shared" si="86"/>
        <v>228.23983599999997</v>
      </c>
    </row>
    <row r="180" spans="1:14" ht="14.25" customHeight="1" x14ac:dyDescent="0.25">
      <c r="A180" s="92" t="s">
        <v>764</v>
      </c>
      <c r="B180" s="12" t="s">
        <v>329</v>
      </c>
      <c r="C180" s="11" t="s">
        <v>29</v>
      </c>
      <c r="D180" s="11" t="s">
        <v>330</v>
      </c>
      <c r="E180" s="13" t="s">
        <v>24</v>
      </c>
      <c r="F180" s="12">
        <v>10</v>
      </c>
      <c r="G180" s="14">
        <v>214.05</v>
      </c>
      <c r="H180" s="14">
        <v>262.14</v>
      </c>
      <c r="I180" s="14">
        <v>2621.4</v>
      </c>
      <c r="J180" s="28">
        <v>1.8710920770877945E-3</v>
      </c>
      <c r="K180" s="14">
        <f t="shared" si="83"/>
        <v>262.14</v>
      </c>
      <c r="L180" s="14">
        <f t="shared" si="84"/>
        <v>28.809185999999997</v>
      </c>
      <c r="M180" s="14">
        <f t="shared" si="85"/>
        <v>290.949186</v>
      </c>
      <c r="N180" s="193">
        <f t="shared" si="86"/>
        <v>2909.4918600000001</v>
      </c>
    </row>
    <row r="181" spans="1:14" ht="25.5" customHeight="1" x14ac:dyDescent="0.25">
      <c r="A181" s="92" t="s">
        <v>765</v>
      </c>
      <c r="B181" s="12" t="s">
        <v>331</v>
      </c>
      <c r="C181" s="11" t="s">
        <v>26</v>
      </c>
      <c r="D181" s="11" t="s">
        <v>332</v>
      </c>
      <c r="E181" s="13" t="s">
        <v>31</v>
      </c>
      <c r="F181" s="12">
        <v>1</v>
      </c>
      <c r="G181" s="14">
        <v>233.14</v>
      </c>
      <c r="H181" s="14">
        <v>285.52</v>
      </c>
      <c r="I181" s="14">
        <v>285.52</v>
      </c>
      <c r="J181" s="28">
        <v>2.0379728765167738E-4</v>
      </c>
      <c r="K181" s="14">
        <f t="shared" si="83"/>
        <v>285.52</v>
      </c>
      <c r="L181" s="14">
        <f t="shared" si="84"/>
        <v>31.378647999999998</v>
      </c>
      <c r="M181" s="14">
        <f t="shared" si="85"/>
        <v>316.89864799999998</v>
      </c>
      <c r="N181" s="193">
        <f t="shared" si="86"/>
        <v>316.89864799999998</v>
      </c>
    </row>
    <row r="182" spans="1:14" ht="14.25" customHeight="1" x14ac:dyDescent="0.25">
      <c r="A182" s="92" t="s">
        <v>766</v>
      </c>
      <c r="B182" s="12" t="s">
        <v>333</v>
      </c>
      <c r="C182" s="11" t="s">
        <v>26</v>
      </c>
      <c r="D182" s="11" t="s">
        <v>334</v>
      </c>
      <c r="E182" s="13" t="s">
        <v>31</v>
      </c>
      <c r="F182" s="12">
        <v>4</v>
      </c>
      <c r="G182" s="14">
        <v>3049.41</v>
      </c>
      <c r="H182" s="14">
        <v>3734.61</v>
      </c>
      <c r="I182" s="14">
        <v>14938.44</v>
      </c>
      <c r="J182" s="28">
        <v>1.0662698072805139E-2</v>
      </c>
      <c r="K182" s="14">
        <f t="shared" si="83"/>
        <v>3734.61</v>
      </c>
      <c r="L182" s="14">
        <f t="shared" si="84"/>
        <v>410.43363900000003</v>
      </c>
      <c r="M182" s="14">
        <f t="shared" si="85"/>
        <v>4145.0436390000004</v>
      </c>
      <c r="N182" s="193">
        <f t="shared" si="86"/>
        <v>16580.174556000002</v>
      </c>
    </row>
    <row r="183" spans="1:14" ht="14.25" customHeight="1" x14ac:dyDescent="0.25">
      <c r="A183" s="92" t="s">
        <v>767</v>
      </c>
      <c r="B183" s="12" t="s">
        <v>335</v>
      </c>
      <c r="C183" s="11" t="s">
        <v>26</v>
      </c>
      <c r="D183" s="11" t="s">
        <v>336</v>
      </c>
      <c r="E183" s="13" t="s">
        <v>31</v>
      </c>
      <c r="F183" s="12">
        <v>1</v>
      </c>
      <c r="G183" s="14">
        <v>7447.71</v>
      </c>
      <c r="H183" s="14">
        <v>9121.2099999999991</v>
      </c>
      <c r="I183" s="14">
        <v>9121.2099999999991</v>
      </c>
      <c r="J183" s="28">
        <v>6.5104996431120631E-3</v>
      </c>
      <c r="K183" s="14">
        <f t="shared" si="83"/>
        <v>9121.2099999999991</v>
      </c>
      <c r="L183" s="14">
        <f t="shared" si="84"/>
        <v>1002.4209789999999</v>
      </c>
      <c r="M183" s="14">
        <f t="shared" si="85"/>
        <v>10123.630979</v>
      </c>
      <c r="N183" s="193">
        <f t="shared" si="86"/>
        <v>10123.630979</v>
      </c>
    </row>
    <row r="184" spans="1:14" ht="14.25" customHeight="1" x14ac:dyDescent="0.25">
      <c r="A184" s="92" t="s">
        <v>768</v>
      </c>
      <c r="B184" s="12" t="s">
        <v>337</v>
      </c>
      <c r="C184" s="11" t="s">
        <v>29</v>
      </c>
      <c r="D184" s="11" t="s">
        <v>338</v>
      </c>
      <c r="E184" s="13" t="s">
        <v>116</v>
      </c>
      <c r="F184" s="12">
        <v>8.42</v>
      </c>
      <c r="G184" s="14">
        <v>139.6</v>
      </c>
      <c r="H184" s="14">
        <v>170.96</v>
      </c>
      <c r="I184" s="14">
        <v>1439.48</v>
      </c>
      <c r="J184" s="28">
        <v>1.0274660956459672E-3</v>
      </c>
      <c r="K184" s="14">
        <f t="shared" si="83"/>
        <v>170.96</v>
      </c>
      <c r="L184" s="14">
        <f t="shared" si="84"/>
        <v>18.788504</v>
      </c>
      <c r="M184" s="14">
        <f t="shared" si="85"/>
        <v>189.748504</v>
      </c>
      <c r="N184" s="193">
        <f t="shared" si="86"/>
        <v>1597.6824036799999</v>
      </c>
    </row>
    <row r="185" spans="1:14" ht="14.25" customHeight="1" x14ac:dyDescent="0.25">
      <c r="A185" s="91" t="s">
        <v>339</v>
      </c>
      <c r="B185" s="8"/>
      <c r="C185" s="8"/>
      <c r="D185" s="8" t="s">
        <v>340</v>
      </c>
      <c r="E185" s="8"/>
      <c r="F185" s="9"/>
      <c r="G185" s="8"/>
      <c r="H185" s="8"/>
      <c r="I185" s="10">
        <v>15256.04</v>
      </c>
      <c r="J185" s="27">
        <v>1.0889393290506781E-2</v>
      </c>
      <c r="K185" s="8"/>
      <c r="L185" s="8"/>
      <c r="M185" s="8"/>
      <c r="N185" s="198">
        <f>SUM(N186:N205)</f>
        <v>16932.678796000004</v>
      </c>
    </row>
    <row r="186" spans="1:14" ht="14.25" customHeight="1" x14ac:dyDescent="0.25">
      <c r="A186" s="92" t="s">
        <v>769</v>
      </c>
      <c r="B186" s="12" t="s">
        <v>341</v>
      </c>
      <c r="C186" s="11" t="s">
        <v>29</v>
      </c>
      <c r="D186" s="11" t="s">
        <v>342</v>
      </c>
      <c r="E186" s="13" t="s">
        <v>31</v>
      </c>
      <c r="F186" s="12">
        <v>2</v>
      </c>
      <c r="G186" s="14">
        <v>54.87</v>
      </c>
      <c r="H186" s="14">
        <v>67.19</v>
      </c>
      <c r="I186" s="14">
        <v>134.38</v>
      </c>
      <c r="J186" s="28">
        <v>9.5917201998572447E-5</v>
      </c>
      <c r="K186" s="14">
        <f t="shared" ref="K186:K205" si="87">H186</f>
        <v>67.19</v>
      </c>
      <c r="L186" s="14">
        <f t="shared" ref="L186:L205" si="88">K186*10.99%</f>
        <v>7.3841809999999999</v>
      </c>
      <c r="M186" s="14">
        <f t="shared" ref="M186:M205" si="89">K186+L186</f>
        <v>74.574180999999996</v>
      </c>
      <c r="N186" s="193">
        <f t="shared" ref="N186:N205" si="90">F186*M186</f>
        <v>149.14836199999999</v>
      </c>
    </row>
    <row r="187" spans="1:14" ht="14.25" customHeight="1" x14ac:dyDescent="0.25">
      <c r="A187" s="92" t="s">
        <v>770</v>
      </c>
      <c r="B187" s="12" t="s">
        <v>343</v>
      </c>
      <c r="C187" s="11" t="s">
        <v>26</v>
      </c>
      <c r="D187" s="11" t="s">
        <v>344</v>
      </c>
      <c r="E187" s="13" t="s">
        <v>31</v>
      </c>
      <c r="F187" s="12">
        <v>5</v>
      </c>
      <c r="G187" s="14">
        <v>224.68</v>
      </c>
      <c r="H187" s="14">
        <v>275.16000000000003</v>
      </c>
      <c r="I187" s="14">
        <v>1375.8</v>
      </c>
      <c r="J187" s="28">
        <v>9.8201284796573885E-4</v>
      </c>
      <c r="K187" s="14">
        <f t="shared" si="87"/>
        <v>275.16000000000003</v>
      </c>
      <c r="L187" s="14">
        <f t="shared" si="88"/>
        <v>30.240084000000003</v>
      </c>
      <c r="M187" s="14">
        <f t="shared" si="89"/>
        <v>305.40008400000005</v>
      </c>
      <c r="N187" s="193">
        <f t="shared" si="90"/>
        <v>1527.0004200000003</v>
      </c>
    </row>
    <row r="188" spans="1:14" ht="14.25" customHeight="1" x14ac:dyDescent="0.25">
      <c r="A188" s="92" t="s">
        <v>771</v>
      </c>
      <c r="B188" s="12" t="s">
        <v>345</v>
      </c>
      <c r="C188" s="11" t="s">
        <v>26</v>
      </c>
      <c r="D188" s="11" t="s">
        <v>346</v>
      </c>
      <c r="E188" s="13" t="s">
        <v>31</v>
      </c>
      <c r="F188" s="12">
        <v>5</v>
      </c>
      <c r="G188" s="14">
        <v>228.37</v>
      </c>
      <c r="H188" s="14">
        <v>279.68</v>
      </c>
      <c r="I188" s="14">
        <v>1398.4</v>
      </c>
      <c r="J188" s="28">
        <v>9.9814418272662383E-4</v>
      </c>
      <c r="K188" s="14">
        <f t="shared" si="87"/>
        <v>279.68</v>
      </c>
      <c r="L188" s="14">
        <f t="shared" si="88"/>
        <v>30.736832</v>
      </c>
      <c r="M188" s="14">
        <f t="shared" si="89"/>
        <v>310.416832</v>
      </c>
      <c r="N188" s="193">
        <f t="shared" si="90"/>
        <v>1552.0841599999999</v>
      </c>
    </row>
    <row r="189" spans="1:14" ht="14.25" customHeight="1" x14ac:dyDescent="0.25">
      <c r="A189" s="92" t="s">
        <v>772</v>
      </c>
      <c r="B189" s="12" t="s">
        <v>347</v>
      </c>
      <c r="C189" s="11" t="s">
        <v>26</v>
      </c>
      <c r="D189" s="11" t="s">
        <v>348</v>
      </c>
      <c r="E189" s="13" t="s">
        <v>31</v>
      </c>
      <c r="F189" s="12">
        <v>3</v>
      </c>
      <c r="G189" s="14">
        <v>369.68</v>
      </c>
      <c r="H189" s="14">
        <v>452.74</v>
      </c>
      <c r="I189" s="14">
        <v>1358.22</v>
      </c>
      <c r="J189" s="28">
        <v>9.6946466809421836E-4</v>
      </c>
      <c r="K189" s="14">
        <f t="shared" si="87"/>
        <v>452.74</v>
      </c>
      <c r="L189" s="14">
        <f t="shared" si="88"/>
        <v>49.756126000000002</v>
      </c>
      <c r="M189" s="14">
        <f t="shared" si="89"/>
        <v>502.496126</v>
      </c>
      <c r="N189" s="193">
        <f t="shared" si="90"/>
        <v>1507.488378</v>
      </c>
    </row>
    <row r="190" spans="1:14" ht="25.5" customHeight="1" x14ac:dyDescent="0.25">
      <c r="A190" s="92" t="s">
        <v>773</v>
      </c>
      <c r="B190" s="12" t="s">
        <v>349</v>
      </c>
      <c r="C190" s="11" t="s">
        <v>26</v>
      </c>
      <c r="D190" s="11" t="s">
        <v>350</v>
      </c>
      <c r="E190" s="13" t="s">
        <v>31</v>
      </c>
      <c r="F190" s="12">
        <v>1</v>
      </c>
      <c r="G190" s="14">
        <v>499.07</v>
      </c>
      <c r="H190" s="14">
        <v>611.21</v>
      </c>
      <c r="I190" s="14">
        <v>611.21</v>
      </c>
      <c r="J190" s="28">
        <v>4.3626695217701642E-4</v>
      </c>
      <c r="K190" s="14">
        <f t="shared" si="87"/>
        <v>611.21</v>
      </c>
      <c r="L190" s="14">
        <f t="shared" si="88"/>
        <v>67.171979000000007</v>
      </c>
      <c r="M190" s="14">
        <f t="shared" si="89"/>
        <v>678.381979</v>
      </c>
      <c r="N190" s="193">
        <f t="shared" si="90"/>
        <v>678.381979</v>
      </c>
    </row>
    <row r="191" spans="1:14" ht="27.75" customHeight="1" x14ac:dyDescent="0.25">
      <c r="A191" s="92" t="s">
        <v>774</v>
      </c>
      <c r="B191" s="12" t="s">
        <v>351</v>
      </c>
      <c r="C191" s="11" t="s">
        <v>26</v>
      </c>
      <c r="D191" s="11" t="s">
        <v>352</v>
      </c>
      <c r="E191" s="13" t="s">
        <v>31</v>
      </c>
      <c r="F191" s="12">
        <v>5</v>
      </c>
      <c r="G191" s="14">
        <v>108.2</v>
      </c>
      <c r="H191" s="14">
        <v>132.51</v>
      </c>
      <c r="I191" s="14">
        <v>662.55</v>
      </c>
      <c r="J191" s="28">
        <v>4.7291220556745182E-4</v>
      </c>
      <c r="K191" s="14">
        <f t="shared" si="87"/>
        <v>132.51</v>
      </c>
      <c r="L191" s="14">
        <f t="shared" si="88"/>
        <v>14.562848999999998</v>
      </c>
      <c r="M191" s="14">
        <f t="shared" si="89"/>
        <v>147.07284899999999</v>
      </c>
      <c r="N191" s="193">
        <f t="shared" si="90"/>
        <v>735.36424499999998</v>
      </c>
    </row>
    <row r="192" spans="1:14" ht="14.25" customHeight="1" x14ac:dyDescent="0.25">
      <c r="A192" s="92" t="s">
        <v>775</v>
      </c>
      <c r="B192" s="12" t="s">
        <v>353</v>
      </c>
      <c r="C192" s="11" t="s">
        <v>26</v>
      </c>
      <c r="D192" s="11" t="s">
        <v>354</v>
      </c>
      <c r="E192" s="13" t="s">
        <v>31</v>
      </c>
      <c r="F192" s="12">
        <v>6</v>
      </c>
      <c r="G192" s="14">
        <v>108.44</v>
      </c>
      <c r="H192" s="14">
        <v>132.80000000000001</v>
      </c>
      <c r="I192" s="14">
        <v>796.8</v>
      </c>
      <c r="J192" s="28">
        <v>5.6873661670235544E-4</v>
      </c>
      <c r="K192" s="14">
        <f t="shared" si="87"/>
        <v>132.80000000000001</v>
      </c>
      <c r="L192" s="14">
        <f t="shared" si="88"/>
        <v>14.594720000000001</v>
      </c>
      <c r="M192" s="14">
        <f t="shared" si="89"/>
        <v>147.39472000000001</v>
      </c>
      <c r="N192" s="193">
        <f t="shared" si="90"/>
        <v>884.36832000000004</v>
      </c>
    </row>
    <row r="193" spans="1:14" ht="14.25" customHeight="1" x14ac:dyDescent="0.25">
      <c r="A193" s="92" t="s">
        <v>776</v>
      </c>
      <c r="B193" s="12" t="s">
        <v>355</v>
      </c>
      <c r="C193" s="11" t="s">
        <v>26</v>
      </c>
      <c r="D193" s="11" t="s">
        <v>356</v>
      </c>
      <c r="E193" s="13" t="s">
        <v>31</v>
      </c>
      <c r="F193" s="12">
        <v>11</v>
      </c>
      <c r="G193" s="14">
        <v>45.62</v>
      </c>
      <c r="H193" s="14">
        <v>55.87</v>
      </c>
      <c r="I193" s="14">
        <v>614.57000000000005</v>
      </c>
      <c r="J193" s="28">
        <v>4.3866523911491789E-4</v>
      </c>
      <c r="K193" s="14">
        <f t="shared" si="87"/>
        <v>55.87</v>
      </c>
      <c r="L193" s="14">
        <f t="shared" si="88"/>
        <v>6.1401129999999995</v>
      </c>
      <c r="M193" s="14">
        <f t="shared" si="89"/>
        <v>62.010112999999997</v>
      </c>
      <c r="N193" s="193">
        <f t="shared" si="90"/>
        <v>682.11124299999994</v>
      </c>
    </row>
    <row r="194" spans="1:14" ht="25.5" customHeight="1" x14ac:dyDescent="0.25">
      <c r="A194" s="92" t="s">
        <v>777</v>
      </c>
      <c r="B194" s="12" t="s">
        <v>357</v>
      </c>
      <c r="C194" s="11" t="s">
        <v>26</v>
      </c>
      <c r="D194" s="11" t="s">
        <v>358</v>
      </c>
      <c r="E194" s="13" t="s">
        <v>31</v>
      </c>
      <c r="F194" s="12">
        <v>8</v>
      </c>
      <c r="G194" s="14">
        <v>20.57</v>
      </c>
      <c r="H194" s="14">
        <v>25.19</v>
      </c>
      <c r="I194" s="14">
        <v>201.52</v>
      </c>
      <c r="J194" s="28">
        <v>1.4384011420413991E-4</v>
      </c>
      <c r="K194" s="14">
        <f t="shared" si="87"/>
        <v>25.19</v>
      </c>
      <c r="L194" s="14">
        <f t="shared" si="88"/>
        <v>2.7683810000000002</v>
      </c>
      <c r="M194" s="14">
        <f t="shared" si="89"/>
        <v>27.958381000000003</v>
      </c>
      <c r="N194" s="193">
        <f t="shared" si="90"/>
        <v>223.66704800000002</v>
      </c>
    </row>
    <row r="195" spans="1:14" ht="14.25" customHeight="1" x14ac:dyDescent="0.25">
      <c r="A195" s="92" t="s">
        <v>778</v>
      </c>
      <c r="B195" s="12" t="s">
        <v>359</v>
      </c>
      <c r="C195" s="11" t="s">
        <v>26</v>
      </c>
      <c r="D195" s="11" t="s">
        <v>360</v>
      </c>
      <c r="E195" s="13" t="s">
        <v>31</v>
      </c>
      <c r="F195" s="12">
        <v>4</v>
      </c>
      <c r="G195" s="14">
        <v>251.25</v>
      </c>
      <c r="H195" s="14">
        <v>307.7</v>
      </c>
      <c r="I195" s="14">
        <v>1230.8</v>
      </c>
      <c r="J195" s="28">
        <v>8.7851534618129908E-4</v>
      </c>
      <c r="K195" s="14">
        <f t="shared" si="87"/>
        <v>307.7</v>
      </c>
      <c r="L195" s="14">
        <f t="shared" si="88"/>
        <v>33.816229999999997</v>
      </c>
      <c r="M195" s="14">
        <f t="shared" si="89"/>
        <v>341.51623000000001</v>
      </c>
      <c r="N195" s="193">
        <f t="shared" si="90"/>
        <v>1366.06492</v>
      </c>
    </row>
    <row r="196" spans="1:14" ht="14.25" customHeight="1" x14ac:dyDescent="0.25">
      <c r="A196" s="92" t="s">
        <v>779</v>
      </c>
      <c r="B196" s="12" t="s">
        <v>361</v>
      </c>
      <c r="C196" s="11" t="s">
        <v>26</v>
      </c>
      <c r="D196" s="11" t="s">
        <v>362</v>
      </c>
      <c r="E196" s="13" t="s">
        <v>31</v>
      </c>
      <c r="F196" s="12">
        <v>2</v>
      </c>
      <c r="G196" s="14">
        <v>484.83</v>
      </c>
      <c r="H196" s="14">
        <v>593.77</v>
      </c>
      <c r="I196" s="14">
        <v>1187.54</v>
      </c>
      <c r="J196" s="28">
        <v>8.4763740185581722E-4</v>
      </c>
      <c r="K196" s="14">
        <f t="shared" si="87"/>
        <v>593.77</v>
      </c>
      <c r="L196" s="14">
        <f t="shared" si="88"/>
        <v>65.25532299999999</v>
      </c>
      <c r="M196" s="14">
        <f t="shared" si="89"/>
        <v>659.02532299999996</v>
      </c>
      <c r="N196" s="193">
        <f t="shared" si="90"/>
        <v>1318.0506459999999</v>
      </c>
    </row>
    <row r="197" spans="1:14" ht="14.25" customHeight="1" x14ac:dyDescent="0.25">
      <c r="A197" s="92" t="s">
        <v>780</v>
      </c>
      <c r="B197" s="12" t="s">
        <v>363</v>
      </c>
      <c r="C197" s="11" t="s">
        <v>22</v>
      </c>
      <c r="D197" s="11" t="s">
        <v>364</v>
      </c>
      <c r="E197" s="13" t="s">
        <v>365</v>
      </c>
      <c r="F197" s="12">
        <v>9</v>
      </c>
      <c r="G197" s="14">
        <v>36.630000000000003</v>
      </c>
      <c r="H197" s="14">
        <v>44.86</v>
      </c>
      <c r="I197" s="14">
        <v>403.74</v>
      </c>
      <c r="J197" s="28">
        <v>2.8817987152034261E-4</v>
      </c>
      <c r="K197" s="14">
        <f t="shared" si="87"/>
        <v>44.86</v>
      </c>
      <c r="L197" s="14">
        <f t="shared" si="88"/>
        <v>4.9301139999999997</v>
      </c>
      <c r="M197" s="14">
        <f t="shared" si="89"/>
        <v>49.790114000000003</v>
      </c>
      <c r="N197" s="193">
        <f t="shared" si="90"/>
        <v>448.11102600000004</v>
      </c>
    </row>
    <row r="198" spans="1:14" ht="14.25" customHeight="1" x14ac:dyDescent="0.25">
      <c r="A198" s="92" t="s">
        <v>781</v>
      </c>
      <c r="B198" s="12" t="s">
        <v>366</v>
      </c>
      <c r="C198" s="11" t="s">
        <v>26</v>
      </c>
      <c r="D198" s="11" t="s">
        <v>367</v>
      </c>
      <c r="E198" s="13" t="s">
        <v>31</v>
      </c>
      <c r="F198" s="12">
        <v>9</v>
      </c>
      <c r="G198" s="14">
        <v>71.19</v>
      </c>
      <c r="H198" s="14">
        <v>87.18</v>
      </c>
      <c r="I198" s="14">
        <v>784.62</v>
      </c>
      <c r="J198" s="28">
        <v>5.600428265524625E-4</v>
      </c>
      <c r="K198" s="14">
        <f t="shared" si="87"/>
        <v>87.18</v>
      </c>
      <c r="L198" s="14">
        <f t="shared" si="88"/>
        <v>9.5810820000000003</v>
      </c>
      <c r="M198" s="14">
        <f t="shared" si="89"/>
        <v>96.761082000000002</v>
      </c>
      <c r="N198" s="193">
        <f t="shared" si="90"/>
        <v>870.849738</v>
      </c>
    </row>
    <row r="199" spans="1:14" ht="51.75" customHeight="1" x14ac:dyDescent="0.25">
      <c r="A199" s="92" t="s">
        <v>782</v>
      </c>
      <c r="B199" s="12" t="s">
        <v>368</v>
      </c>
      <c r="C199" s="11" t="s">
        <v>26</v>
      </c>
      <c r="D199" s="11" t="s">
        <v>369</v>
      </c>
      <c r="E199" s="13" t="s">
        <v>31</v>
      </c>
      <c r="F199" s="12">
        <v>1</v>
      </c>
      <c r="G199" s="14">
        <v>642.35</v>
      </c>
      <c r="H199" s="14">
        <v>786.68</v>
      </c>
      <c r="I199" s="14">
        <v>786.68</v>
      </c>
      <c r="J199" s="28">
        <v>5.6151320485367594E-4</v>
      </c>
      <c r="K199" s="14">
        <f t="shared" si="87"/>
        <v>786.68</v>
      </c>
      <c r="L199" s="14">
        <f t="shared" si="88"/>
        <v>86.456131999999997</v>
      </c>
      <c r="M199" s="14">
        <f t="shared" si="89"/>
        <v>873.13613199999998</v>
      </c>
      <c r="N199" s="193">
        <f t="shared" si="90"/>
        <v>873.13613199999998</v>
      </c>
    </row>
    <row r="200" spans="1:14" ht="39" customHeight="1" x14ac:dyDescent="0.25">
      <c r="A200" s="92" t="s">
        <v>783</v>
      </c>
      <c r="B200" s="12" t="s">
        <v>370</v>
      </c>
      <c r="C200" s="11" t="s">
        <v>26</v>
      </c>
      <c r="D200" s="11" t="s">
        <v>371</v>
      </c>
      <c r="E200" s="13" t="s">
        <v>31</v>
      </c>
      <c r="F200" s="12">
        <v>4</v>
      </c>
      <c r="G200" s="14">
        <v>331.94</v>
      </c>
      <c r="H200" s="14">
        <v>406.52</v>
      </c>
      <c r="I200" s="14">
        <v>1626.08</v>
      </c>
      <c r="J200" s="28">
        <v>1.1606566738044254E-3</v>
      </c>
      <c r="K200" s="14">
        <f t="shared" si="87"/>
        <v>406.52</v>
      </c>
      <c r="L200" s="14">
        <f t="shared" si="88"/>
        <v>44.676547999999997</v>
      </c>
      <c r="M200" s="14">
        <f t="shared" si="89"/>
        <v>451.19654800000001</v>
      </c>
      <c r="N200" s="193">
        <f t="shared" si="90"/>
        <v>1804.786192</v>
      </c>
    </row>
    <row r="201" spans="1:14" ht="14.25" customHeight="1" x14ac:dyDescent="0.25">
      <c r="A201" s="92" t="s">
        <v>784</v>
      </c>
      <c r="B201" s="12" t="s">
        <v>372</v>
      </c>
      <c r="C201" s="11" t="s">
        <v>26</v>
      </c>
      <c r="D201" s="11" t="s">
        <v>373</v>
      </c>
      <c r="E201" s="13" t="s">
        <v>31</v>
      </c>
      <c r="F201" s="12">
        <v>5</v>
      </c>
      <c r="G201" s="14">
        <v>79.23</v>
      </c>
      <c r="H201" s="14">
        <v>97.03</v>
      </c>
      <c r="I201" s="14">
        <v>485.15</v>
      </c>
      <c r="J201" s="28">
        <v>3.4628836545324768E-4</v>
      </c>
      <c r="K201" s="14">
        <f t="shared" si="87"/>
        <v>97.03</v>
      </c>
      <c r="L201" s="14">
        <f t="shared" si="88"/>
        <v>10.663596999999999</v>
      </c>
      <c r="M201" s="14">
        <f t="shared" si="89"/>
        <v>107.693597</v>
      </c>
      <c r="N201" s="193">
        <f t="shared" si="90"/>
        <v>538.467985</v>
      </c>
    </row>
    <row r="202" spans="1:14" ht="39" customHeight="1" x14ac:dyDescent="0.25">
      <c r="A202" s="92" t="s">
        <v>785</v>
      </c>
      <c r="B202" s="12" t="s">
        <v>370</v>
      </c>
      <c r="C202" s="11" t="s">
        <v>26</v>
      </c>
      <c r="D202" s="11" t="s">
        <v>371</v>
      </c>
      <c r="E202" s="13" t="s">
        <v>31</v>
      </c>
      <c r="F202" s="12">
        <v>2</v>
      </c>
      <c r="G202" s="14">
        <v>331.94</v>
      </c>
      <c r="H202" s="14">
        <v>406.52</v>
      </c>
      <c r="I202" s="14">
        <v>813.04</v>
      </c>
      <c r="J202" s="28">
        <v>5.8032833690221269E-4</v>
      </c>
      <c r="K202" s="14">
        <f t="shared" si="87"/>
        <v>406.52</v>
      </c>
      <c r="L202" s="14">
        <f t="shared" si="88"/>
        <v>44.676547999999997</v>
      </c>
      <c r="M202" s="14">
        <f t="shared" si="89"/>
        <v>451.19654800000001</v>
      </c>
      <c r="N202" s="193">
        <f t="shared" si="90"/>
        <v>902.39309600000001</v>
      </c>
    </row>
    <row r="203" spans="1:14" ht="14.25" customHeight="1" x14ac:dyDescent="0.25">
      <c r="A203" s="92" t="s">
        <v>786</v>
      </c>
      <c r="B203" s="12" t="s">
        <v>374</v>
      </c>
      <c r="C203" s="11" t="s">
        <v>29</v>
      </c>
      <c r="D203" s="11" t="s">
        <v>375</v>
      </c>
      <c r="E203" s="13" t="s">
        <v>31</v>
      </c>
      <c r="F203" s="12">
        <v>1</v>
      </c>
      <c r="G203" s="14">
        <v>118.98</v>
      </c>
      <c r="H203" s="14">
        <v>145.71</v>
      </c>
      <c r="I203" s="14">
        <v>145.71</v>
      </c>
      <c r="J203" s="28">
        <v>1.0400428265524626E-4</v>
      </c>
      <c r="K203" s="14">
        <f t="shared" si="87"/>
        <v>145.71</v>
      </c>
      <c r="L203" s="14">
        <f t="shared" si="88"/>
        <v>16.013529000000002</v>
      </c>
      <c r="M203" s="14">
        <f t="shared" si="89"/>
        <v>161.72352900000001</v>
      </c>
      <c r="N203" s="193">
        <f t="shared" si="90"/>
        <v>161.72352900000001</v>
      </c>
    </row>
    <row r="204" spans="1:14" ht="14.25" customHeight="1" x14ac:dyDescent="0.25">
      <c r="A204" s="92" t="s">
        <v>787</v>
      </c>
      <c r="B204" s="12" t="s">
        <v>376</v>
      </c>
      <c r="C204" s="11" t="s">
        <v>22</v>
      </c>
      <c r="D204" s="11" t="s">
        <v>377</v>
      </c>
      <c r="E204" s="13" t="s">
        <v>365</v>
      </c>
      <c r="F204" s="12">
        <v>1</v>
      </c>
      <c r="G204" s="14">
        <v>86.46</v>
      </c>
      <c r="H204" s="14">
        <v>105.88</v>
      </c>
      <c r="I204" s="14">
        <v>105.88</v>
      </c>
      <c r="J204" s="28">
        <v>7.5574589578872233E-5</v>
      </c>
      <c r="K204" s="14">
        <f t="shared" si="87"/>
        <v>105.88</v>
      </c>
      <c r="L204" s="14">
        <f t="shared" si="88"/>
        <v>11.636211999999999</v>
      </c>
      <c r="M204" s="14">
        <f t="shared" si="89"/>
        <v>117.516212</v>
      </c>
      <c r="N204" s="193">
        <f t="shared" si="90"/>
        <v>117.516212</v>
      </c>
    </row>
    <row r="205" spans="1:14" ht="14.25" customHeight="1" x14ac:dyDescent="0.25">
      <c r="A205" s="92" t="s">
        <v>788</v>
      </c>
      <c r="B205" s="12" t="s">
        <v>378</v>
      </c>
      <c r="C205" s="11" t="s">
        <v>26</v>
      </c>
      <c r="D205" s="11" t="s">
        <v>379</v>
      </c>
      <c r="E205" s="13" t="s">
        <v>31</v>
      </c>
      <c r="F205" s="12">
        <v>5</v>
      </c>
      <c r="G205" s="14">
        <v>87.1</v>
      </c>
      <c r="H205" s="14">
        <v>106.67</v>
      </c>
      <c r="I205" s="14">
        <v>533.35</v>
      </c>
      <c r="J205" s="28">
        <v>3.8069236259814418E-4</v>
      </c>
      <c r="K205" s="14">
        <f t="shared" si="87"/>
        <v>106.67</v>
      </c>
      <c r="L205" s="14">
        <f t="shared" si="88"/>
        <v>11.723032999999999</v>
      </c>
      <c r="M205" s="14">
        <f t="shared" si="89"/>
        <v>118.393033</v>
      </c>
      <c r="N205" s="193">
        <f t="shared" si="90"/>
        <v>591.96516500000007</v>
      </c>
    </row>
    <row r="206" spans="1:14" ht="14.25" customHeight="1" x14ac:dyDescent="0.25">
      <c r="A206" s="91" t="s">
        <v>380</v>
      </c>
      <c r="B206" s="8"/>
      <c r="C206" s="8"/>
      <c r="D206" s="8" t="s">
        <v>381</v>
      </c>
      <c r="E206" s="8"/>
      <c r="F206" s="9"/>
      <c r="G206" s="8"/>
      <c r="H206" s="8"/>
      <c r="I206" s="10">
        <v>3188.84</v>
      </c>
      <c r="J206" s="27">
        <v>2.2761170592433978E-3</v>
      </c>
      <c r="K206" s="8"/>
      <c r="L206" s="8"/>
      <c r="M206" s="8"/>
      <c r="N206" s="198">
        <f>SUM(N207:N217)</f>
        <v>3539.3188217200004</v>
      </c>
    </row>
    <row r="207" spans="1:14" ht="39" customHeight="1" x14ac:dyDescent="0.25">
      <c r="A207" s="92" t="s">
        <v>789</v>
      </c>
      <c r="B207" s="12" t="s">
        <v>382</v>
      </c>
      <c r="C207" s="11" t="s">
        <v>26</v>
      </c>
      <c r="D207" s="11" t="s">
        <v>383</v>
      </c>
      <c r="E207" s="13" t="s">
        <v>50</v>
      </c>
      <c r="F207" s="12">
        <v>0.8</v>
      </c>
      <c r="G207" s="14">
        <v>322.93</v>
      </c>
      <c r="H207" s="14">
        <v>395.49</v>
      </c>
      <c r="I207" s="14">
        <v>316.39</v>
      </c>
      <c r="J207" s="28">
        <v>2.258315488936474E-4</v>
      </c>
      <c r="K207" s="14">
        <f t="shared" ref="K207:K217" si="91">H207</f>
        <v>395.49</v>
      </c>
      <c r="L207" s="14">
        <f t="shared" ref="L207:L217" si="92">K207*10.99%</f>
        <v>43.464351000000001</v>
      </c>
      <c r="M207" s="14">
        <f t="shared" ref="M207:M217" si="93">K207+L207</f>
        <v>438.95435100000003</v>
      </c>
      <c r="N207" s="193">
        <f t="shared" ref="N207:N217" si="94">F207*M207</f>
        <v>351.16348080000006</v>
      </c>
    </row>
    <row r="208" spans="1:14" ht="39" customHeight="1" x14ac:dyDescent="0.25">
      <c r="A208" s="92" t="s">
        <v>790</v>
      </c>
      <c r="B208" s="12" t="s">
        <v>384</v>
      </c>
      <c r="C208" s="11" t="s">
        <v>26</v>
      </c>
      <c r="D208" s="11" t="s">
        <v>385</v>
      </c>
      <c r="E208" s="13" t="s">
        <v>24</v>
      </c>
      <c r="F208" s="12">
        <v>0.16</v>
      </c>
      <c r="G208" s="14">
        <v>667.29</v>
      </c>
      <c r="H208" s="14">
        <v>817.23</v>
      </c>
      <c r="I208" s="14">
        <v>130.75</v>
      </c>
      <c r="J208" s="28">
        <v>9.3326195574589584E-5</v>
      </c>
      <c r="K208" s="14">
        <f t="shared" si="91"/>
        <v>817.23</v>
      </c>
      <c r="L208" s="14">
        <f t="shared" si="92"/>
        <v>89.813576999999995</v>
      </c>
      <c r="M208" s="14">
        <f t="shared" si="93"/>
        <v>907.04357700000003</v>
      </c>
      <c r="N208" s="193">
        <f t="shared" si="94"/>
        <v>145.12697232000002</v>
      </c>
    </row>
    <row r="209" spans="1:14" ht="14.25" customHeight="1" x14ac:dyDescent="0.25">
      <c r="A209" s="92" t="s">
        <v>791</v>
      </c>
      <c r="B209" s="12" t="s">
        <v>386</v>
      </c>
      <c r="C209" s="11" t="s">
        <v>26</v>
      </c>
      <c r="D209" s="11" t="s">
        <v>387</v>
      </c>
      <c r="E209" s="13" t="s">
        <v>116</v>
      </c>
      <c r="F209" s="12">
        <v>7.2</v>
      </c>
      <c r="G209" s="14">
        <v>28.61</v>
      </c>
      <c r="H209" s="14">
        <v>35.03</v>
      </c>
      <c r="I209" s="14">
        <v>252.21</v>
      </c>
      <c r="J209" s="28">
        <v>1.8002141327623126E-4</v>
      </c>
      <c r="K209" s="14">
        <f t="shared" si="91"/>
        <v>35.03</v>
      </c>
      <c r="L209" s="14">
        <f t="shared" si="92"/>
        <v>3.8497970000000001</v>
      </c>
      <c r="M209" s="14">
        <f t="shared" si="93"/>
        <v>38.879797000000003</v>
      </c>
      <c r="N209" s="193">
        <f t="shared" si="94"/>
        <v>279.93453840000001</v>
      </c>
    </row>
    <row r="210" spans="1:14" ht="39" customHeight="1" x14ac:dyDescent="0.25">
      <c r="A210" s="92" t="s">
        <v>792</v>
      </c>
      <c r="B210" s="12" t="s">
        <v>388</v>
      </c>
      <c r="C210" s="11" t="s">
        <v>26</v>
      </c>
      <c r="D210" s="11" t="s">
        <v>389</v>
      </c>
      <c r="E210" s="13" t="s">
        <v>31</v>
      </c>
      <c r="F210" s="12">
        <v>2</v>
      </c>
      <c r="G210" s="14">
        <v>10.050000000000001</v>
      </c>
      <c r="H210" s="14">
        <v>12.3</v>
      </c>
      <c r="I210" s="14">
        <v>24.6</v>
      </c>
      <c r="J210" s="28">
        <v>1.7558886509635974E-5</v>
      </c>
      <c r="K210" s="14">
        <f t="shared" si="91"/>
        <v>12.3</v>
      </c>
      <c r="L210" s="14">
        <f t="shared" si="92"/>
        <v>1.3517700000000001</v>
      </c>
      <c r="M210" s="14">
        <f t="shared" si="93"/>
        <v>13.651770000000001</v>
      </c>
      <c r="N210" s="193">
        <f t="shared" si="94"/>
        <v>27.303540000000002</v>
      </c>
    </row>
    <row r="211" spans="1:14" ht="14.25" customHeight="1" x14ac:dyDescent="0.25">
      <c r="A211" s="92" t="s">
        <v>793</v>
      </c>
      <c r="B211" s="12" t="s">
        <v>390</v>
      </c>
      <c r="C211" s="11" t="s">
        <v>109</v>
      </c>
      <c r="D211" s="11" t="s">
        <v>391</v>
      </c>
      <c r="E211" s="13" t="s">
        <v>31</v>
      </c>
      <c r="F211" s="12">
        <v>4</v>
      </c>
      <c r="G211" s="14">
        <v>85.64</v>
      </c>
      <c r="H211" s="14">
        <v>104.88</v>
      </c>
      <c r="I211" s="14">
        <v>419.52</v>
      </c>
      <c r="J211" s="28">
        <v>2.9944325481798717E-4</v>
      </c>
      <c r="K211" s="14">
        <f t="shared" si="91"/>
        <v>104.88</v>
      </c>
      <c r="L211" s="14">
        <f t="shared" si="92"/>
        <v>11.526311999999999</v>
      </c>
      <c r="M211" s="14">
        <f t="shared" si="93"/>
        <v>116.406312</v>
      </c>
      <c r="N211" s="193">
        <f t="shared" si="94"/>
        <v>465.625248</v>
      </c>
    </row>
    <row r="212" spans="1:14" ht="14.25" customHeight="1" x14ac:dyDescent="0.25">
      <c r="A212" s="92" t="s">
        <v>794</v>
      </c>
      <c r="B212" s="12" t="s">
        <v>392</v>
      </c>
      <c r="C212" s="11" t="s">
        <v>29</v>
      </c>
      <c r="D212" s="11" t="s">
        <v>393</v>
      </c>
      <c r="E212" s="13" t="s">
        <v>116</v>
      </c>
      <c r="F212" s="12">
        <v>7.28</v>
      </c>
      <c r="G212" s="14">
        <v>13.76</v>
      </c>
      <c r="H212" s="14">
        <v>16.850000000000001</v>
      </c>
      <c r="I212" s="14">
        <v>122.66</v>
      </c>
      <c r="J212" s="28">
        <v>8.7551748750892223E-5</v>
      </c>
      <c r="K212" s="14">
        <f t="shared" si="91"/>
        <v>16.850000000000001</v>
      </c>
      <c r="L212" s="14">
        <f t="shared" si="92"/>
        <v>1.8518150000000002</v>
      </c>
      <c r="M212" s="14">
        <f t="shared" si="93"/>
        <v>18.701815000000003</v>
      </c>
      <c r="N212" s="193">
        <f t="shared" si="94"/>
        <v>136.14921320000002</v>
      </c>
    </row>
    <row r="213" spans="1:14" ht="25.5" customHeight="1" x14ac:dyDescent="0.25">
      <c r="A213" s="92" t="s">
        <v>795</v>
      </c>
      <c r="B213" s="12" t="s">
        <v>394</v>
      </c>
      <c r="C213" s="11" t="s">
        <v>26</v>
      </c>
      <c r="D213" s="11" t="s">
        <v>395</v>
      </c>
      <c r="E213" s="13" t="s">
        <v>31</v>
      </c>
      <c r="F213" s="12">
        <v>1</v>
      </c>
      <c r="G213" s="14">
        <v>108.54</v>
      </c>
      <c r="H213" s="14">
        <v>132.91999999999999</v>
      </c>
      <c r="I213" s="14">
        <v>132.91999999999999</v>
      </c>
      <c r="J213" s="28">
        <v>9.4875089221984295E-5</v>
      </c>
      <c r="K213" s="14">
        <f t="shared" si="91"/>
        <v>132.91999999999999</v>
      </c>
      <c r="L213" s="14">
        <f t="shared" si="92"/>
        <v>14.607907999999998</v>
      </c>
      <c r="M213" s="14">
        <f t="shared" si="93"/>
        <v>147.527908</v>
      </c>
      <c r="N213" s="193">
        <f t="shared" si="94"/>
        <v>147.527908</v>
      </c>
    </row>
    <row r="214" spans="1:14" ht="14.25" customHeight="1" x14ac:dyDescent="0.25">
      <c r="A214" s="92" t="s">
        <v>796</v>
      </c>
      <c r="B214" s="12" t="s">
        <v>396</v>
      </c>
      <c r="C214" s="11" t="s">
        <v>22</v>
      </c>
      <c r="D214" s="11" t="s">
        <v>397</v>
      </c>
      <c r="E214" s="13" t="s">
        <v>365</v>
      </c>
      <c r="F214" s="12">
        <v>2</v>
      </c>
      <c r="G214" s="14">
        <v>41.46</v>
      </c>
      <c r="H214" s="14">
        <v>50.77</v>
      </c>
      <c r="I214" s="14">
        <v>101.54</v>
      </c>
      <c r="J214" s="28">
        <v>7.2476802284082798E-5</v>
      </c>
      <c r="K214" s="14">
        <f t="shared" si="91"/>
        <v>50.77</v>
      </c>
      <c r="L214" s="14">
        <f t="shared" si="92"/>
        <v>5.5796230000000007</v>
      </c>
      <c r="M214" s="14">
        <f t="shared" si="93"/>
        <v>56.349623000000001</v>
      </c>
      <c r="N214" s="193">
        <f t="shared" si="94"/>
        <v>112.699246</v>
      </c>
    </row>
    <row r="215" spans="1:14" ht="25.5" customHeight="1" x14ac:dyDescent="0.25">
      <c r="A215" s="92" t="s">
        <v>797</v>
      </c>
      <c r="B215" s="12" t="s">
        <v>398</v>
      </c>
      <c r="C215" s="11" t="s">
        <v>109</v>
      </c>
      <c r="D215" s="11" t="s">
        <v>399</v>
      </c>
      <c r="E215" s="13" t="s">
        <v>31</v>
      </c>
      <c r="F215" s="12">
        <v>1</v>
      </c>
      <c r="G215" s="14">
        <v>1234.49</v>
      </c>
      <c r="H215" s="14">
        <v>1511.87</v>
      </c>
      <c r="I215" s="14">
        <v>1511.87</v>
      </c>
      <c r="J215" s="28">
        <v>1.0791363311920057E-3</v>
      </c>
      <c r="K215" s="14">
        <f t="shared" si="91"/>
        <v>1511.87</v>
      </c>
      <c r="L215" s="14">
        <f t="shared" si="92"/>
        <v>166.15451299999998</v>
      </c>
      <c r="M215" s="14">
        <f t="shared" si="93"/>
        <v>1678.0245129999998</v>
      </c>
      <c r="N215" s="193">
        <f t="shared" si="94"/>
        <v>1678.0245129999998</v>
      </c>
    </row>
    <row r="216" spans="1:14" ht="25.5" customHeight="1" x14ac:dyDescent="0.25">
      <c r="A216" s="92" t="s">
        <v>798</v>
      </c>
      <c r="B216" s="12" t="s">
        <v>400</v>
      </c>
      <c r="C216" s="11" t="s">
        <v>109</v>
      </c>
      <c r="D216" s="11" t="s">
        <v>401</v>
      </c>
      <c r="E216" s="13" t="s">
        <v>31</v>
      </c>
      <c r="F216" s="12">
        <v>1</v>
      </c>
      <c r="G216" s="14">
        <v>72.010000000000005</v>
      </c>
      <c r="H216" s="14">
        <v>88.19</v>
      </c>
      <c r="I216" s="14">
        <v>88.19</v>
      </c>
      <c r="J216" s="28">
        <v>6.2947894361170591E-5</v>
      </c>
      <c r="K216" s="14">
        <f t="shared" si="91"/>
        <v>88.19</v>
      </c>
      <c r="L216" s="14">
        <f t="shared" si="92"/>
        <v>9.6920809999999999</v>
      </c>
      <c r="M216" s="14">
        <f t="shared" si="93"/>
        <v>97.882080999999999</v>
      </c>
      <c r="N216" s="193">
        <f t="shared" si="94"/>
        <v>97.882080999999999</v>
      </c>
    </row>
    <row r="217" spans="1:14" ht="14.25" customHeight="1" x14ac:dyDescent="0.25">
      <c r="A217" s="92" t="s">
        <v>799</v>
      </c>
      <c r="B217" s="12" t="s">
        <v>402</v>
      </c>
      <c r="C217" s="11" t="s">
        <v>109</v>
      </c>
      <c r="D217" s="11" t="s">
        <v>403</v>
      </c>
      <c r="E217" s="13" t="s">
        <v>31</v>
      </c>
      <c r="F217" s="12">
        <v>1</v>
      </c>
      <c r="G217" s="14">
        <v>72.010000000000005</v>
      </c>
      <c r="H217" s="14">
        <v>88.19</v>
      </c>
      <c r="I217" s="14">
        <v>88.19</v>
      </c>
      <c r="J217" s="28">
        <v>6.2947894361170591E-5</v>
      </c>
      <c r="K217" s="14">
        <f t="shared" si="91"/>
        <v>88.19</v>
      </c>
      <c r="L217" s="14">
        <f t="shared" si="92"/>
        <v>9.6920809999999999</v>
      </c>
      <c r="M217" s="14">
        <f t="shared" si="93"/>
        <v>97.882080999999999</v>
      </c>
      <c r="N217" s="193">
        <f t="shared" si="94"/>
        <v>97.882080999999999</v>
      </c>
    </row>
    <row r="218" spans="1:14" ht="14.25" customHeight="1" x14ac:dyDescent="0.25">
      <c r="A218" s="91" t="s">
        <v>404</v>
      </c>
      <c r="B218" s="8"/>
      <c r="C218" s="8"/>
      <c r="D218" s="8" t="s">
        <v>405</v>
      </c>
      <c r="E218" s="8"/>
      <c r="F218" s="9"/>
      <c r="G218" s="8"/>
      <c r="H218" s="8"/>
      <c r="I218" s="10">
        <v>2202.83</v>
      </c>
      <c r="J218" s="27">
        <v>1.572326909350464E-3</v>
      </c>
      <c r="K218" s="8"/>
      <c r="L218" s="8"/>
      <c r="M218" s="8"/>
      <c r="N218" s="198">
        <f>SUM(N219:N222)</f>
        <v>2444.9210170000001</v>
      </c>
    </row>
    <row r="219" spans="1:14" ht="14.25" customHeight="1" x14ac:dyDescent="0.25">
      <c r="A219" s="92" t="s">
        <v>800</v>
      </c>
      <c r="B219" s="12" t="s">
        <v>406</v>
      </c>
      <c r="C219" s="11" t="s">
        <v>26</v>
      </c>
      <c r="D219" s="11" t="s">
        <v>407</v>
      </c>
      <c r="E219" s="13" t="s">
        <v>31</v>
      </c>
      <c r="F219" s="12">
        <v>5</v>
      </c>
      <c r="G219" s="14">
        <v>236.35</v>
      </c>
      <c r="H219" s="14">
        <v>289.45</v>
      </c>
      <c r="I219" s="14">
        <v>1447.25</v>
      </c>
      <c r="J219" s="28">
        <v>1.0330121341898643E-3</v>
      </c>
      <c r="K219" s="14">
        <f t="shared" ref="K219:K222" si="95">H219</f>
        <v>289.45</v>
      </c>
      <c r="L219" s="14">
        <f t="shared" ref="L219:L222" si="96">K219*10.99%</f>
        <v>31.810554999999997</v>
      </c>
      <c r="M219" s="14">
        <f t="shared" ref="M219:M222" si="97">K219+L219</f>
        <v>321.26055500000001</v>
      </c>
      <c r="N219" s="193">
        <f t="shared" ref="N219:N222" si="98">F219*M219</f>
        <v>1606.3027750000001</v>
      </c>
    </row>
    <row r="220" spans="1:14" ht="14.25" customHeight="1" x14ac:dyDescent="0.25">
      <c r="A220" s="92" t="s">
        <v>801</v>
      </c>
      <c r="B220" s="12" t="s">
        <v>408</v>
      </c>
      <c r="C220" s="11" t="s">
        <v>26</v>
      </c>
      <c r="D220" s="11" t="s">
        <v>409</v>
      </c>
      <c r="E220" s="13" t="s">
        <v>31</v>
      </c>
      <c r="F220" s="12">
        <v>16</v>
      </c>
      <c r="G220" s="14">
        <v>18.53</v>
      </c>
      <c r="H220" s="14">
        <v>22.69</v>
      </c>
      <c r="I220" s="14">
        <v>363.04</v>
      </c>
      <c r="J220" s="28">
        <v>2.5912919343326195E-4</v>
      </c>
      <c r="K220" s="14">
        <f t="shared" si="95"/>
        <v>22.69</v>
      </c>
      <c r="L220" s="14">
        <f t="shared" si="96"/>
        <v>2.4936310000000002</v>
      </c>
      <c r="M220" s="14">
        <f t="shared" si="97"/>
        <v>25.183631000000002</v>
      </c>
      <c r="N220" s="193">
        <f t="shared" si="98"/>
        <v>402.93809600000003</v>
      </c>
    </row>
    <row r="221" spans="1:14" ht="14.25" customHeight="1" x14ac:dyDescent="0.25">
      <c r="A221" s="92" t="s">
        <v>802</v>
      </c>
      <c r="B221" s="12" t="s">
        <v>410</v>
      </c>
      <c r="C221" s="11" t="s">
        <v>22</v>
      </c>
      <c r="D221" s="11" t="s">
        <v>411</v>
      </c>
      <c r="E221" s="13" t="s">
        <v>24</v>
      </c>
      <c r="F221" s="12">
        <v>5</v>
      </c>
      <c r="G221" s="14">
        <v>21.45</v>
      </c>
      <c r="H221" s="14">
        <v>26.26</v>
      </c>
      <c r="I221" s="14">
        <v>131.30000000000001</v>
      </c>
      <c r="J221" s="28">
        <v>9.3718772305496071E-5</v>
      </c>
      <c r="K221" s="14">
        <f t="shared" si="95"/>
        <v>26.26</v>
      </c>
      <c r="L221" s="14">
        <f t="shared" si="96"/>
        <v>2.885974</v>
      </c>
      <c r="M221" s="14">
        <f t="shared" si="97"/>
        <v>29.145974000000002</v>
      </c>
      <c r="N221" s="193">
        <f t="shared" si="98"/>
        <v>145.72987000000001</v>
      </c>
    </row>
    <row r="222" spans="1:14" ht="14.25" customHeight="1" x14ac:dyDescent="0.25">
      <c r="A222" s="92" t="s">
        <v>803</v>
      </c>
      <c r="B222" s="12" t="s">
        <v>412</v>
      </c>
      <c r="C222" s="11" t="s">
        <v>22</v>
      </c>
      <c r="D222" s="11" t="s">
        <v>413</v>
      </c>
      <c r="E222" s="13" t="s">
        <v>365</v>
      </c>
      <c r="F222" s="12">
        <v>21</v>
      </c>
      <c r="G222" s="14">
        <v>10.16</v>
      </c>
      <c r="H222" s="14">
        <v>12.44</v>
      </c>
      <c r="I222" s="14">
        <v>261.24</v>
      </c>
      <c r="J222" s="28">
        <v>1.8646680942184155E-4</v>
      </c>
      <c r="K222" s="14">
        <f t="shared" si="95"/>
        <v>12.44</v>
      </c>
      <c r="L222" s="14">
        <f t="shared" si="96"/>
        <v>1.3671559999999998</v>
      </c>
      <c r="M222" s="14">
        <f t="shared" si="97"/>
        <v>13.807155999999999</v>
      </c>
      <c r="N222" s="193">
        <f t="shared" si="98"/>
        <v>289.95027599999997</v>
      </c>
    </row>
    <row r="223" spans="1:14" ht="14.25" customHeight="1" x14ac:dyDescent="0.25">
      <c r="A223" s="91" t="s">
        <v>414</v>
      </c>
      <c r="B223" s="8"/>
      <c r="C223" s="8"/>
      <c r="D223" s="8" t="s">
        <v>415</v>
      </c>
      <c r="E223" s="8"/>
      <c r="F223" s="9"/>
      <c r="G223" s="8"/>
      <c r="H223" s="8"/>
      <c r="I223" s="10">
        <v>60978.92</v>
      </c>
      <c r="J223" s="27">
        <v>4.352528194147038E-2</v>
      </c>
      <c r="K223" s="8"/>
      <c r="L223" s="8"/>
      <c r="M223" s="8"/>
      <c r="N223" s="192"/>
    </row>
    <row r="224" spans="1:14" ht="14.25" customHeight="1" x14ac:dyDescent="0.25">
      <c r="A224" s="91" t="s">
        <v>416</v>
      </c>
      <c r="B224" s="8"/>
      <c r="C224" s="8"/>
      <c r="D224" s="8" t="s">
        <v>417</v>
      </c>
      <c r="E224" s="8"/>
      <c r="F224" s="9"/>
      <c r="G224" s="8"/>
      <c r="H224" s="8"/>
      <c r="I224" s="10">
        <v>4457.68</v>
      </c>
      <c r="J224" s="27">
        <v>3.1817844396859387E-3</v>
      </c>
      <c r="K224" s="8"/>
      <c r="L224" s="8"/>
      <c r="M224" s="8"/>
      <c r="N224" s="198">
        <f>SUM(N225:N238)</f>
        <v>4947.5790319999996</v>
      </c>
    </row>
    <row r="225" spans="1:14" ht="14.25" customHeight="1" x14ac:dyDescent="0.25">
      <c r="A225" s="92" t="s">
        <v>804</v>
      </c>
      <c r="B225" s="12" t="s">
        <v>418</v>
      </c>
      <c r="C225" s="11" t="s">
        <v>26</v>
      </c>
      <c r="D225" s="11" t="s">
        <v>419</v>
      </c>
      <c r="E225" s="13" t="s">
        <v>31</v>
      </c>
      <c r="F225" s="12">
        <v>2</v>
      </c>
      <c r="G225" s="14">
        <v>265.12</v>
      </c>
      <c r="H225" s="14">
        <v>324.69</v>
      </c>
      <c r="I225" s="14">
        <v>649.38</v>
      </c>
      <c r="J225" s="28">
        <v>4.635117773019272E-4</v>
      </c>
      <c r="K225" s="14">
        <f t="shared" ref="K225:K238" si="99">H225</f>
        <v>324.69</v>
      </c>
      <c r="L225" s="14">
        <f t="shared" ref="L225:L238" si="100">K225*10.99%</f>
        <v>35.683430999999999</v>
      </c>
      <c r="M225" s="14">
        <f t="shared" ref="M225:M238" si="101">K225+L225</f>
        <v>360.37343099999998</v>
      </c>
      <c r="N225" s="193">
        <f t="shared" ref="N225:N238" si="102">F225*M225</f>
        <v>720.74686199999996</v>
      </c>
    </row>
    <row r="226" spans="1:14" ht="14.25" customHeight="1" x14ac:dyDescent="0.25">
      <c r="A226" s="92" t="s">
        <v>805</v>
      </c>
      <c r="B226" s="12" t="s">
        <v>420</v>
      </c>
      <c r="C226" s="11" t="s">
        <v>26</v>
      </c>
      <c r="D226" s="11" t="s">
        <v>421</v>
      </c>
      <c r="E226" s="13" t="s">
        <v>31</v>
      </c>
      <c r="F226" s="12">
        <v>1</v>
      </c>
      <c r="G226" s="14">
        <v>365.55</v>
      </c>
      <c r="H226" s="14">
        <v>447.68</v>
      </c>
      <c r="I226" s="14">
        <v>447.68</v>
      </c>
      <c r="J226" s="28">
        <v>3.1954318344039974E-4</v>
      </c>
      <c r="K226" s="14">
        <f t="shared" si="99"/>
        <v>447.68</v>
      </c>
      <c r="L226" s="14">
        <f t="shared" si="100"/>
        <v>49.200032</v>
      </c>
      <c r="M226" s="14">
        <f t="shared" si="101"/>
        <v>496.88003200000003</v>
      </c>
      <c r="N226" s="193">
        <f t="shared" si="102"/>
        <v>496.88003200000003</v>
      </c>
    </row>
    <row r="227" spans="1:14" ht="14.25" customHeight="1" x14ac:dyDescent="0.25">
      <c r="A227" s="92" t="s">
        <v>806</v>
      </c>
      <c r="B227" s="12" t="s">
        <v>422</v>
      </c>
      <c r="C227" s="11" t="s">
        <v>26</v>
      </c>
      <c r="D227" s="11" t="s">
        <v>423</v>
      </c>
      <c r="E227" s="13" t="s">
        <v>31</v>
      </c>
      <c r="F227" s="12">
        <v>1</v>
      </c>
      <c r="G227" s="14">
        <v>72.739999999999995</v>
      </c>
      <c r="H227" s="14">
        <v>89.08</v>
      </c>
      <c r="I227" s="14">
        <v>89.08</v>
      </c>
      <c r="J227" s="28">
        <v>6.3583154889364739E-5</v>
      </c>
      <c r="K227" s="14">
        <f t="shared" si="99"/>
        <v>89.08</v>
      </c>
      <c r="L227" s="14">
        <f t="shared" si="100"/>
        <v>9.789892</v>
      </c>
      <c r="M227" s="14">
        <f t="shared" si="101"/>
        <v>98.869891999999993</v>
      </c>
      <c r="N227" s="193">
        <f t="shared" si="102"/>
        <v>98.869891999999993</v>
      </c>
    </row>
    <row r="228" spans="1:14" ht="14.25" customHeight="1" x14ac:dyDescent="0.25">
      <c r="A228" s="92" t="s">
        <v>807</v>
      </c>
      <c r="B228" s="12" t="s">
        <v>424</v>
      </c>
      <c r="C228" s="11" t="s">
        <v>29</v>
      </c>
      <c r="D228" s="11" t="s">
        <v>425</v>
      </c>
      <c r="E228" s="13" t="s">
        <v>31</v>
      </c>
      <c r="F228" s="12">
        <v>1</v>
      </c>
      <c r="G228" s="14">
        <v>72.709999999999994</v>
      </c>
      <c r="H228" s="14">
        <v>89.04</v>
      </c>
      <c r="I228" s="14">
        <v>89.04</v>
      </c>
      <c r="J228" s="28">
        <v>6.3554603854389718E-5</v>
      </c>
      <c r="K228" s="14">
        <f t="shared" si="99"/>
        <v>89.04</v>
      </c>
      <c r="L228" s="14">
        <f t="shared" si="100"/>
        <v>9.7854960000000002</v>
      </c>
      <c r="M228" s="14">
        <f t="shared" si="101"/>
        <v>98.825496000000001</v>
      </c>
      <c r="N228" s="193">
        <f t="shared" si="102"/>
        <v>98.825496000000001</v>
      </c>
    </row>
    <row r="229" spans="1:14" ht="14.25" customHeight="1" x14ac:dyDescent="0.25">
      <c r="A229" s="92" t="s">
        <v>808</v>
      </c>
      <c r="B229" s="12" t="s">
        <v>426</v>
      </c>
      <c r="C229" s="11" t="s">
        <v>22</v>
      </c>
      <c r="D229" s="11" t="s">
        <v>427</v>
      </c>
      <c r="E229" s="13" t="s">
        <v>365</v>
      </c>
      <c r="F229" s="12">
        <v>6</v>
      </c>
      <c r="G229" s="14">
        <v>13.6</v>
      </c>
      <c r="H229" s="14">
        <v>16.649999999999999</v>
      </c>
      <c r="I229" s="14">
        <v>99.9</v>
      </c>
      <c r="J229" s="28">
        <v>7.130620985010707E-5</v>
      </c>
      <c r="K229" s="14">
        <f t="shared" si="99"/>
        <v>16.649999999999999</v>
      </c>
      <c r="L229" s="14">
        <f t="shared" si="100"/>
        <v>1.8298349999999999</v>
      </c>
      <c r="M229" s="14">
        <f t="shared" si="101"/>
        <v>18.479834999999998</v>
      </c>
      <c r="N229" s="193">
        <f t="shared" si="102"/>
        <v>110.87900999999999</v>
      </c>
    </row>
    <row r="230" spans="1:14" ht="14.25" customHeight="1" x14ac:dyDescent="0.25">
      <c r="A230" s="92" t="s">
        <v>809</v>
      </c>
      <c r="B230" s="12" t="s">
        <v>428</v>
      </c>
      <c r="C230" s="11" t="s">
        <v>22</v>
      </c>
      <c r="D230" s="11" t="s">
        <v>429</v>
      </c>
      <c r="E230" s="13" t="s">
        <v>365</v>
      </c>
      <c r="F230" s="12">
        <v>1</v>
      </c>
      <c r="G230" s="14">
        <v>14.64</v>
      </c>
      <c r="H230" s="14">
        <v>17.920000000000002</v>
      </c>
      <c r="I230" s="14">
        <v>17.920000000000002</v>
      </c>
      <c r="J230" s="28">
        <v>1.2790863668807995E-5</v>
      </c>
      <c r="K230" s="14">
        <f t="shared" si="99"/>
        <v>17.920000000000002</v>
      </c>
      <c r="L230" s="14">
        <f t="shared" si="100"/>
        <v>1.969408</v>
      </c>
      <c r="M230" s="14">
        <f t="shared" si="101"/>
        <v>19.889408000000003</v>
      </c>
      <c r="N230" s="193">
        <f t="shared" si="102"/>
        <v>19.889408000000003</v>
      </c>
    </row>
    <row r="231" spans="1:14" ht="15" customHeight="1" x14ac:dyDescent="0.25">
      <c r="A231" s="92" t="s">
        <v>810</v>
      </c>
      <c r="B231" s="12" t="s">
        <v>430</v>
      </c>
      <c r="C231" s="11" t="s">
        <v>22</v>
      </c>
      <c r="D231" s="11" t="s">
        <v>431</v>
      </c>
      <c r="E231" s="13" t="s">
        <v>365</v>
      </c>
      <c r="F231" s="12">
        <v>2</v>
      </c>
      <c r="G231" s="14">
        <v>15.88</v>
      </c>
      <c r="H231" s="14">
        <v>19.440000000000001</v>
      </c>
      <c r="I231" s="14">
        <v>38.880000000000003</v>
      </c>
      <c r="J231" s="28">
        <v>2.7751605995717344E-5</v>
      </c>
      <c r="K231" s="14">
        <f t="shared" si="99"/>
        <v>19.440000000000001</v>
      </c>
      <c r="L231" s="14">
        <f t="shared" si="100"/>
        <v>2.1364559999999999</v>
      </c>
      <c r="M231" s="14">
        <f t="shared" si="101"/>
        <v>21.576456</v>
      </c>
      <c r="N231" s="193">
        <f t="shared" si="102"/>
        <v>43.152912000000001</v>
      </c>
    </row>
    <row r="232" spans="1:14" ht="25.5" customHeight="1" x14ac:dyDescent="0.25">
      <c r="A232" s="92" t="s">
        <v>811</v>
      </c>
      <c r="B232" s="12" t="s">
        <v>432</v>
      </c>
      <c r="C232" s="11" t="s">
        <v>29</v>
      </c>
      <c r="D232" s="11" t="s">
        <v>433</v>
      </c>
      <c r="E232" s="13" t="s">
        <v>31</v>
      </c>
      <c r="F232" s="12">
        <v>4</v>
      </c>
      <c r="G232" s="14">
        <v>84.82</v>
      </c>
      <c r="H232" s="14">
        <v>103.87</v>
      </c>
      <c r="I232" s="14">
        <v>415.48</v>
      </c>
      <c r="J232" s="28">
        <v>2.9655960028551032E-4</v>
      </c>
      <c r="K232" s="14">
        <f t="shared" si="99"/>
        <v>103.87</v>
      </c>
      <c r="L232" s="14">
        <f t="shared" si="100"/>
        <v>11.415312999999999</v>
      </c>
      <c r="M232" s="14">
        <f t="shared" si="101"/>
        <v>115.285313</v>
      </c>
      <c r="N232" s="193">
        <f t="shared" si="102"/>
        <v>461.14125200000001</v>
      </c>
    </row>
    <row r="233" spans="1:14" ht="14.25" customHeight="1" x14ac:dyDescent="0.25">
      <c r="A233" s="92" t="s">
        <v>812</v>
      </c>
      <c r="B233" s="12" t="s">
        <v>434</v>
      </c>
      <c r="C233" s="11" t="s">
        <v>22</v>
      </c>
      <c r="D233" s="11" t="s">
        <v>435</v>
      </c>
      <c r="E233" s="13" t="s">
        <v>365</v>
      </c>
      <c r="F233" s="12">
        <v>23</v>
      </c>
      <c r="G233" s="14">
        <v>37.19</v>
      </c>
      <c r="H233" s="14">
        <v>45.54</v>
      </c>
      <c r="I233" s="14">
        <v>1047.42</v>
      </c>
      <c r="J233" s="28">
        <v>7.4762312633832977E-4</v>
      </c>
      <c r="K233" s="14">
        <f t="shared" si="99"/>
        <v>45.54</v>
      </c>
      <c r="L233" s="14">
        <f t="shared" si="100"/>
        <v>5.0048459999999997</v>
      </c>
      <c r="M233" s="14">
        <f t="shared" si="101"/>
        <v>50.544846</v>
      </c>
      <c r="N233" s="193">
        <f t="shared" si="102"/>
        <v>1162.5314579999999</v>
      </c>
    </row>
    <row r="234" spans="1:14" ht="14.25" customHeight="1" x14ac:dyDescent="0.25">
      <c r="A234" s="92" t="s">
        <v>813</v>
      </c>
      <c r="B234" s="12" t="s">
        <v>436</v>
      </c>
      <c r="C234" s="11" t="s">
        <v>22</v>
      </c>
      <c r="D234" s="11" t="s">
        <v>437</v>
      </c>
      <c r="E234" s="13" t="s">
        <v>365</v>
      </c>
      <c r="F234" s="12">
        <v>5</v>
      </c>
      <c r="G234" s="14">
        <v>54.28</v>
      </c>
      <c r="H234" s="14">
        <v>66.47</v>
      </c>
      <c r="I234" s="14">
        <v>332.35</v>
      </c>
      <c r="J234" s="28">
        <v>2.3722341184867951E-4</v>
      </c>
      <c r="K234" s="14">
        <f t="shared" si="99"/>
        <v>66.47</v>
      </c>
      <c r="L234" s="14">
        <f t="shared" si="100"/>
        <v>7.305053</v>
      </c>
      <c r="M234" s="14">
        <f t="shared" si="101"/>
        <v>73.775053</v>
      </c>
      <c r="N234" s="193">
        <f t="shared" si="102"/>
        <v>368.87526500000001</v>
      </c>
    </row>
    <row r="235" spans="1:14" ht="14.25" customHeight="1" x14ac:dyDescent="0.25">
      <c r="A235" s="92" t="s">
        <v>814</v>
      </c>
      <c r="B235" s="12" t="s">
        <v>434</v>
      </c>
      <c r="C235" s="11" t="s">
        <v>22</v>
      </c>
      <c r="D235" s="11" t="s">
        <v>435</v>
      </c>
      <c r="E235" s="13" t="s">
        <v>365</v>
      </c>
      <c r="F235" s="12">
        <v>11</v>
      </c>
      <c r="G235" s="14">
        <v>37.19</v>
      </c>
      <c r="H235" s="14">
        <v>45.54</v>
      </c>
      <c r="I235" s="14">
        <v>500.94</v>
      </c>
      <c r="J235" s="28">
        <v>3.57558886509636E-4</v>
      </c>
      <c r="K235" s="14">
        <f t="shared" si="99"/>
        <v>45.54</v>
      </c>
      <c r="L235" s="14">
        <f t="shared" si="100"/>
        <v>5.0048459999999997</v>
      </c>
      <c r="M235" s="14">
        <f t="shared" si="101"/>
        <v>50.544846</v>
      </c>
      <c r="N235" s="193">
        <f t="shared" si="102"/>
        <v>555.99330599999996</v>
      </c>
    </row>
    <row r="236" spans="1:14" ht="14.25" customHeight="1" x14ac:dyDescent="0.25">
      <c r="A236" s="92" t="s">
        <v>815</v>
      </c>
      <c r="B236" s="12" t="s">
        <v>436</v>
      </c>
      <c r="C236" s="11" t="s">
        <v>22</v>
      </c>
      <c r="D236" s="11" t="s">
        <v>437</v>
      </c>
      <c r="E236" s="13" t="s">
        <v>365</v>
      </c>
      <c r="F236" s="12">
        <v>2</v>
      </c>
      <c r="G236" s="14">
        <v>54.28</v>
      </c>
      <c r="H236" s="14">
        <v>66.47</v>
      </c>
      <c r="I236" s="14">
        <v>132.94</v>
      </c>
      <c r="J236" s="28">
        <v>9.4889364739471813E-5</v>
      </c>
      <c r="K236" s="14">
        <f t="shared" si="99"/>
        <v>66.47</v>
      </c>
      <c r="L236" s="14">
        <f t="shared" si="100"/>
        <v>7.305053</v>
      </c>
      <c r="M236" s="14">
        <f t="shared" si="101"/>
        <v>73.775053</v>
      </c>
      <c r="N236" s="193">
        <f t="shared" si="102"/>
        <v>147.550106</v>
      </c>
    </row>
    <row r="237" spans="1:14" ht="25.5" customHeight="1" x14ac:dyDescent="0.25">
      <c r="A237" s="92" t="s">
        <v>816</v>
      </c>
      <c r="B237" s="12" t="s">
        <v>438</v>
      </c>
      <c r="C237" s="11" t="s">
        <v>22</v>
      </c>
      <c r="D237" s="11" t="s">
        <v>439</v>
      </c>
      <c r="E237" s="13" t="s">
        <v>365</v>
      </c>
      <c r="F237" s="12">
        <v>1</v>
      </c>
      <c r="G237" s="14">
        <v>57.13</v>
      </c>
      <c r="H237" s="14">
        <v>69.959999999999994</v>
      </c>
      <c r="I237" s="14">
        <v>69.959999999999994</v>
      </c>
      <c r="J237" s="28">
        <v>4.9935760171306208E-5</v>
      </c>
      <c r="K237" s="14">
        <f t="shared" si="99"/>
        <v>69.959999999999994</v>
      </c>
      <c r="L237" s="14">
        <f t="shared" si="100"/>
        <v>7.6886039999999989</v>
      </c>
      <c r="M237" s="14">
        <f t="shared" si="101"/>
        <v>77.648603999999992</v>
      </c>
      <c r="N237" s="193">
        <f t="shared" si="102"/>
        <v>77.648603999999992</v>
      </c>
    </row>
    <row r="238" spans="1:14" ht="14.25" customHeight="1" x14ac:dyDescent="0.25">
      <c r="A238" s="92" t="s">
        <v>817</v>
      </c>
      <c r="B238" s="12" t="s">
        <v>440</v>
      </c>
      <c r="C238" s="11" t="s">
        <v>26</v>
      </c>
      <c r="D238" s="11" t="s">
        <v>441</v>
      </c>
      <c r="E238" s="13" t="s">
        <v>31</v>
      </c>
      <c r="F238" s="12">
        <v>1</v>
      </c>
      <c r="G238" s="14">
        <v>430.08</v>
      </c>
      <c r="H238" s="14">
        <v>526.71</v>
      </c>
      <c r="I238" s="14">
        <v>526.71</v>
      </c>
      <c r="J238" s="28">
        <v>3.759528907922912E-4</v>
      </c>
      <c r="K238" s="14">
        <f t="shared" si="99"/>
        <v>526.71</v>
      </c>
      <c r="L238" s="14">
        <f t="shared" si="100"/>
        <v>57.885429000000002</v>
      </c>
      <c r="M238" s="14">
        <f t="shared" si="101"/>
        <v>584.59542900000008</v>
      </c>
      <c r="N238" s="193">
        <f t="shared" si="102"/>
        <v>584.59542900000008</v>
      </c>
    </row>
    <row r="239" spans="1:14" ht="14.25" customHeight="1" x14ac:dyDescent="0.25">
      <c r="A239" s="91" t="s">
        <v>442</v>
      </c>
      <c r="B239" s="8"/>
      <c r="C239" s="8"/>
      <c r="D239" s="8" t="s">
        <v>443</v>
      </c>
      <c r="E239" s="8"/>
      <c r="F239" s="9"/>
      <c r="G239" s="8"/>
      <c r="H239" s="8"/>
      <c r="I239" s="10">
        <v>20395.740000000002</v>
      </c>
      <c r="J239" s="27">
        <v>1.4557987152034262E-2</v>
      </c>
      <c r="K239" s="8"/>
      <c r="L239" s="8"/>
      <c r="M239" s="8"/>
      <c r="N239" s="198">
        <f>SUM(N240:N252)</f>
        <v>22637.240705200002</v>
      </c>
    </row>
    <row r="240" spans="1:14" ht="39" customHeight="1" x14ac:dyDescent="0.25">
      <c r="A240" s="92" t="s">
        <v>818</v>
      </c>
      <c r="B240" s="12" t="s">
        <v>444</v>
      </c>
      <c r="C240" s="11" t="s">
        <v>26</v>
      </c>
      <c r="D240" s="11" t="s">
        <v>445</v>
      </c>
      <c r="E240" s="13" t="s">
        <v>116</v>
      </c>
      <c r="F240" s="12">
        <v>593.29999999999995</v>
      </c>
      <c r="G240" s="14">
        <v>6.39</v>
      </c>
      <c r="H240" s="14">
        <v>7.82</v>
      </c>
      <c r="I240" s="14">
        <v>4639.6000000000004</v>
      </c>
      <c r="J240" s="28">
        <v>3.3116345467523196E-3</v>
      </c>
      <c r="K240" s="14">
        <f t="shared" ref="K240:K252" si="103">H240</f>
        <v>7.82</v>
      </c>
      <c r="L240" s="14">
        <f t="shared" ref="L240:L252" si="104">K240*10.99%</f>
        <v>0.85941800000000002</v>
      </c>
      <c r="M240" s="14">
        <f t="shared" ref="M240:M252" si="105">K240+L240</f>
        <v>8.6794180000000001</v>
      </c>
      <c r="N240" s="193">
        <f t="shared" ref="N240:N252" si="106">F240*M240</f>
        <v>5149.4986994000001</v>
      </c>
    </row>
    <row r="241" spans="1:14" ht="39" customHeight="1" x14ac:dyDescent="0.25">
      <c r="A241" s="92" t="s">
        <v>819</v>
      </c>
      <c r="B241" s="12" t="s">
        <v>446</v>
      </c>
      <c r="C241" s="11" t="s">
        <v>26</v>
      </c>
      <c r="D241" s="11" t="s">
        <v>447</v>
      </c>
      <c r="E241" s="13" t="s">
        <v>116</v>
      </c>
      <c r="F241" s="12">
        <v>199.5</v>
      </c>
      <c r="G241" s="14">
        <v>8.2799999999999994</v>
      </c>
      <c r="H241" s="14">
        <v>10.14</v>
      </c>
      <c r="I241" s="14">
        <v>2022.93</v>
      </c>
      <c r="J241" s="28">
        <v>1.4439186295503211E-3</v>
      </c>
      <c r="K241" s="14">
        <f t="shared" si="103"/>
        <v>10.14</v>
      </c>
      <c r="L241" s="14">
        <f t="shared" si="104"/>
        <v>1.1143860000000001</v>
      </c>
      <c r="M241" s="14">
        <f t="shared" si="105"/>
        <v>11.254386</v>
      </c>
      <c r="N241" s="193">
        <f t="shared" si="106"/>
        <v>2245.2500070000001</v>
      </c>
    </row>
    <row r="242" spans="1:14" ht="39" customHeight="1" x14ac:dyDescent="0.25">
      <c r="A242" s="92" t="s">
        <v>820</v>
      </c>
      <c r="B242" s="12" t="s">
        <v>448</v>
      </c>
      <c r="C242" s="11" t="s">
        <v>26</v>
      </c>
      <c r="D242" s="11" t="s">
        <v>449</v>
      </c>
      <c r="E242" s="13" t="s">
        <v>116</v>
      </c>
      <c r="F242" s="12">
        <v>159.5</v>
      </c>
      <c r="G242" s="14">
        <v>12.97</v>
      </c>
      <c r="H242" s="14">
        <v>15.88</v>
      </c>
      <c r="I242" s="14">
        <v>2532.86</v>
      </c>
      <c r="J242" s="28">
        <v>1.8078943611705923E-3</v>
      </c>
      <c r="K242" s="14">
        <f t="shared" si="103"/>
        <v>15.88</v>
      </c>
      <c r="L242" s="14">
        <f t="shared" si="104"/>
        <v>1.745212</v>
      </c>
      <c r="M242" s="14">
        <f t="shared" si="105"/>
        <v>17.625212000000001</v>
      </c>
      <c r="N242" s="193">
        <f t="shared" si="106"/>
        <v>2811.2213140000003</v>
      </c>
    </row>
    <row r="243" spans="1:14" ht="39" customHeight="1" x14ac:dyDescent="0.25">
      <c r="A243" s="92" t="s">
        <v>821</v>
      </c>
      <c r="B243" s="12" t="s">
        <v>450</v>
      </c>
      <c r="C243" s="11" t="s">
        <v>26</v>
      </c>
      <c r="D243" s="11" t="s">
        <v>451</v>
      </c>
      <c r="E243" s="13" t="s">
        <v>116</v>
      </c>
      <c r="F243" s="12">
        <v>102.4</v>
      </c>
      <c r="G243" s="14">
        <v>19.38</v>
      </c>
      <c r="H243" s="14">
        <v>23.73</v>
      </c>
      <c r="I243" s="14">
        <v>2429.9499999999998</v>
      </c>
      <c r="J243" s="28">
        <v>1.7344396859386153E-3</v>
      </c>
      <c r="K243" s="14">
        <f t="shared" si="103"/>
        <v>23.73</v>
      </c>
      <c r="L243" s="14">
        <f t="shared" si="104"/>
        <v>2.6079270000000001</v>
      </c>
      <c r="M243" s="14">
        <f t="shared" si="105"/>
        <v>26.337927000000001</v>
      </c>
      <c r="N243" s="193">
        <f t="shared" si="106"/>
        <v>2697.0037248000003</v>
      </c>
    </row>
    <row r="244" spans="1:14" ht="39" customHeight="1" x14ac:dyDescent="0.25">
      <c r="A244" s="92" t="s">
        <v>822</v>
      </c>
      <c r="B244" s="12" t="s">
        <v>452</v>
      </c>
      <c r="C244" s="11" t="s">
        <v>26</v>
      </c>
      <c r="D244" s="11" t="s">
        <v>453</v>
      </c>
      <c r="E244" s="13" t="s">
        <v>116</v>
      </c>
      <c r="F244" s="12">
        <v>80</v>
      </c>
      <c r="G244" s="14">
        <v>33.32</v>
      </c>
      <c r="H244" s="14">
        <v>40.799999999999997</v>
      </c>
      <c r="I244" s="14">
        <v>3264</v>
      </c>
      <c r="J244" s="28">
        <v>2.3297644539614559E-3</v>
      </c>
      <c r="K244" s="14">
        <f t="shared" si="103"/>
        <v>40.799999999999997</v>
      </c>
      <c r="L244" s="14">
        <f t="shared" si="104"/>
        <v>4.4839199999999995</v>
      </c>
      <c r="M244" s="14">
        <f t="shared" si="105"/>
        <v>45.283919999999995</v>
      </c>
      <c r="N244" s="193">
        <f t="shared" si="106"/>
        <v>3622.7135999999996</v>
      </c>
    </row>
    <row r="245" spans="1:14" ht="14.25" customHeight="1" x14ac:dyDescent="0.25">
      <c r="A245" s="92" t="s">
        <v>823</v>
      </c>
      <c r="B245" s="12" t="s">
        <v>454</v>
      </c>
      <c r="C245" s="11" t="s">
        <v>26</v>
      </c>
      <c r="D245" s="11" t="s">
        <v>455</v>
      </c>
      <c r="E245" s="13" t="s">
        <v>31</v>
      </c>
      <c r="F245" s="12">
        <v>9</v>
      </c>
      <c r="G245" s="14">
        <v>27.85</v>
      </c>
      <c r="H245" s="14">
        <v>34.1</v>
      </c>
      <c r="I245" s="14">
        <v>306.89999999999998</v>
      </c>
      <c r="J245" s="28">
        <v>2.1905781584582442E-4</v>
      </c>
      <c r="K245" s="14">
        <f t="shared" si="103"/>
        <v>34.1</v>
      </c>
      <c r="L245" s="14">
        <f t="shared" si="104"/>
        <v>3.7475900000000002</v>
      </c>
      <c r="M245" s="14">
        <f t="shared" si="105"/>
        <v>37.847590000000004</v>
      </c>
      <c r="N245" s="193">
        <f t="shared" si="106"/>
        <v>340.62831000000006</v>
      </c>
    </row>
    <row r="246" spans="1:14" ht="39" customHeight="1" x14ac:dyDescent="0.25">
      <c r="A246" s="92" t="s">
        <v>824</v>
      </c>
      <c r="B246" s="12" t="s">
        <v>388</v>
      </c>
      <c r="C246" s="11" t="s">
        <v>26</v>
      </c>
      <c r="D246" s="11" t="s">
        <v>389</v>
      </c>
      <c r="E246" s="13" t="s">
        <v>31</v>
      </c>
      <c r="F246" s="12">
        <v>2</v>
      </c>
      <c r="G246" s="14">
        <v>10.050000000000001</v>
      </c>
      <c r="H246" s="14">
        <v>12.3</v>
      </c>
      <c r="I246" s="14">
        <v>24.6</v>
      </c>
      <c r="J246" s="28">
        <v>1.7558886509635974E-5</v>
      </c>
      <c r="K246" s="14">
        <f t="shared" si="103"/>
        <v>12.3</v>
      </c>
      <c r="L246" s="14">
        <f t="shared" si="104"/>
        <v>1.3517700000000001</v>
      </c>
      <c r="M246" s="14">
        <f t="shared" si="105"/>
        <v>13.651770000000001</v>
      </c>
      <c r="N246" s="193">
        <f t="shared" si="106"/>
        <v>27.303540000000002</v>
      </c>
    </row>
    <row r="247" spans="1:14" ht="14.25" customHeight="1" x14ac:dyDescent="0.25">
      <c r="A247" s="92" t="s">
        <v>825</v>
      </c>
      <c r="B247" s="12" t="s">
        <v>456</v>
      </c>
      <c r="C247" s="11" t="s">
        <v>109</v>
      </c>
      <c r="D247" s="11" t="s">
        <v>457</v>
      </c>
      <c r="E247" s="13" t="s">
        <v>31</v>
      </c>
      <c r="F247" s="12">
        <v>9</v>
      </c>
      <c r="G247" s="14">
        <v>154.57</v>
      </c>
      <c r="H247" s="14">
        <v>189.3</v>
      </c>
      <c r="I247" s="14">
        <v>1703.7</v>
      </c>
      <c r="J247" s="28">
        <v>1.2160599571734475E-3</v>
      </c>
      <c r="K247" s="14">
        <f t="shared" si="103"/>
        <v>189.3</v>
      </c>
      <c r="L247" s="14">
        <f t="shared" si="104"/>
        <v>20.804069999999999</v>
      </c>
      <c r="M247" s="14">
        <f t="shared" si="105"/>
        <v>210.10407000000001</v>
      </c>
      <c r="N247" s="193">
        <f t="shared" si="106"/>
        <v>1890.9366300000002</v>
      </c>
    </row>
    <row r="248" spans="1:14" ht="25.5" customHeight="1" x14ac:dyDescent="0.25">
      <c r="A248" s="92" t="s">
        <v>826</v>
      </c>
      <c r="B248" s="12" t="s">
        <v>458</v>
      </c>
      <c r="C248" s="11" t="s">
        <v>109</v>
      </c>
      <c r="D248" s="11" t="s">
        <v>459</v>
      </c>
      <c r="E248" s="13" t="s">
        <v>31</v>
      </c>
      <c r="F248" s="12">
        <v>5</v>
      </c>
      <c r="G248" s="14">
        <v>154.57</v>
      </c>
      <c r="H248" s="14">
        <v>189.3</v>
      </c>
      <c r="I248" s="14">
        <v>946.5</v>
      </c>
      <c r="J248" s="28">
        <v>6.7558886509635975E-4</v>
      </c>
      <c r="K248" s="14">
        <f t="shared" si="103"/>
        <v>189.3</v>
      </c>
      <c r="L248" s="14">
        <f t="shared" si="104"/>
        <v>20.804069999999999</v>
      </c>
      <c r="M248" s="14">
        <f t="shared" si="105"/>
        <v>210.10407000000001</v>
      </c>
      <c r="N248" s="193">
        <f t="shared" si="106"/>
        <v>1050.52035</v>
      </c>
    </row>
    <row r="249" spans="1:14" ht="14.25" customHeight="1" x14ac:dyDescent="0.25">
      <c r="A249" s="92" t="s">
        <v>827</v>
      </c>
      <c r="B249" s="12" t="s">
        <v>460</v>
      </c>
      <c r="C249" s="11" t="s">
        <v>26</v>
      </c>
      <c r="D249" s="11" t="s">
        <v>461</v>
      </c>
      <c r="E249" s="13" t="s">
        <v>31</v>
      </c>
      <c r="F249" s="12">
        <v>5</v>
      </c>
      <c r="G249" s="14">
        <v>8.02</v>
      </c>
      <c r="H249" s="14">
        <v>9.82</v>
      </c>
      <c r="I249" s="14">
        <v>49.1</v>
      </c>
      <c r="J249" s="28">
        <v>3.5046395431834402E-5</v>
      </c>
      <c r="K249" s="14">
        <f t="shared" si="103"/>
        <v>9.82</v>
      </c>
      <c r="L249" s="14">
        <f t="shared" si="104"/>
        <v>1.079218</v>
      </c>
      <c r="M249" s="14">
        <f t="shared" si="105"/>
        <v>10.899218000000001</v>
      </c>
      <c r="N249" s="193">
        <f t="shared" si="106"/>
        <v>54.496090000000009</v>
      </c>
    </row>
    <row r="250" spans="1:14" ht="14.25" customHeight="1" x14ac:dyDescent="0.25">
      <c r="A250" s="92" t="s">
        <v>828</v>
      </c>
      <c r="B250" s="12" t="s">
        <v>462</v>
      </c>
      <c r="C250" s="11" t="s">
        <v>26</v>
      </c>
      <c r="D250" s="11" t="s">
        <v>463</v>
      </c>
      <c r="E250" s="13" t="s">
        <v>31</v>
      </c>
      <c r="F250" s="12">
        <v>88</v>
      </c>
      <c r="G250" s="14">
        <v>6.77</v>
      </c>
      <c r="H250" s="14">
        <v>8.2899999999999991</v>
      </c>
      <c r="I250" s="14">
        <v>729.52</v>
      </c>
      <c r="J250" s="28">
        <v>5.2071377587437539E-4</v>
      </c>
      <c r="K250" s="14">
        <f t="shared" si="103"/>
        <v>8.2899999999999991</v>
      </c>
      <c r="L250" s="14">
        <f t="shared" si="104"/>
        <v>0.91107099999999985</v>
      </c>
      <c r="M250" s="14">
        <f t="shared" si="105"/>
        <v>9.2010709999999989</v>
      </c>
      <c r="N250" s="193">
        <f t="shared" si="106"/>
        <v>809.6942479999999</v>
      </c>
    </row>
    <row r="251" spans="1:14" ht="25.5" customHeight="1" x14ac:dyDescent="0.25">
      <c r="A251" s="92" t="s">
        <v>829</v>
      </c>
      <c r="B251" s="12" t="s">
        <v>464</v>
      </c>
      <c r="C251" s="11" t="s">
        <v>26</v>
      </c>
      <c r="D251" s="11" t="s">
        <v>465</v>
      </c>
      <c r="E251" s="13" t="s">
        <v>31</v>
      </c>
      <c r="F251" s="12">
        <v>147</v>
      </c>
      <c r="G251" s="14">
        <v>9.0500000000000007</v>
      </c>
      <c r="H251" s="14">
        <v>11.08</v>
      </c>
      <c r="I251" s="14">
        <v>1628.76</v>
      </c>
      <c r="J251" s="28">
        <v>1.1625695931477516E-3</v>
      </c>
      <c r="K251" s="14">
        <f t="shared" si="103"/>
        <v>11.08</v>
      </c>
      <c r="L251" s="14">
        <f t="shared" si="104"/>
        <v>1.217692</v>
      </c>
      <c r="M251" s="14">
        <f t="shared" si="105"/>
        <v>12.297692</v>
      </c>
      <c r="N251" s="193">
        <f t="shared" si="106"/>
        <v>1807.760724</v>
      </c>
    </row>
    <row r="252" spans="1:14" ht="14.25" customHeight="1" x14ac:dyDescent="0.25">
      <c r="A252" s="92" t="s">
        <v>830</v>
      </c>
      <c r="B252" s="12" t="s">
        <v>466</v>
      </c>
      <c r="C252" s="11" t="s">
        <v>29</v>
      </c>
      <c r="D252" s="11" t="s">
        <v>467</v>
      </c>
      <c r="E252" s="13" t="s">
        <v>116</v>
      </c>
      <c r="F252" s="12">
        <v>2</v>
      </c>
      <c r="G252" s="14">
        <v>47.9</v>
      </c>
      <c r="H252" s="14">
        <v>58.66</v>
      </c>
      <c r="I252" s="14">
        <v>117.32</v>
      </c>
      <c r="J252" s="28">
        <v>8.3740185581727335E-5</v>
      </c>
      <c r="K252" s="14">
        <f t="shared" si="103"/>
        <v>58.66</v>
      </c>
      <c r="L252" s="14">
        <f t="shared" si="104"/>
        <v>6.4467339999999993</v>
      </c>
      <c r="M252" s="14">
        <f t="shared" si="105"/>
        <v>65.106733999999989</v>
      </c>
      <c r="N252" s="193">
        <f t="shared" si="106"/>
        <v>130.21346799999998</v>
      </c>
    </row>
    <row r="253" spans="1:14" ht="14.25" customHeight="1" x14ac:dyDescent="0.25">
      <c r="A253" s="91" t="s">
        <v>468</v>
      </c>
      <c r="B253" s="8"/>
      <c r="C253" s="8"/>
      <c r="D253" s="8" t="s">
        <v>469</v>
      </c>
      <c r="E253" s="8"/>
      <c r="F253" s="9"/>
      <c r="G253" s="8"/>
      <c r="H253" s="8"/>
      <c r="I253" s="10">
        <v>24117.040000000001</v>
      </c>
      <c r="J253" s="27">
        <v>1.721416131334761E-2</v>
      </c>
      <c r="K253" s="8"/>
      <c r="L253" s="8"/>
      <c r="M253" s="8"/>
      <c r="N253" s="198">
        <f>SUM(N254:N261)</f>
        <v>26767.526003899995</v>
      </c>
    </row>
    <row r="254" spans="1:14" ht="39" customHeight="1" x14ac:dyDescent="0.25">
      <c r="A254" s="92" t="s">
        <v>831</v>
      </c>
      <c r="B254" s="12" t="s">
        <v>470</v>
      </c>
      <c r="C254" s="11" t="s">
        <v>26</v>
      </c>
      <c r="D254" s="11" t="s">
        <v>471</v>
      </c>
      <c r="E254" s="13" t="s">
        <v>116</v>
      </c>
      <c r="F254" s="12">
        <v>1520</v>
      </c>
      <c r="G254" s="14">
        <v>1.97</v>
      </c>
      <c r="H254" s="14">
        <v>2.41</v>
      </c>
      <c r="I254" s="14">
        <v>3663.2</v>
      </c>
      <c r="J254" s="28">
        <v>2.6147037830121342E-3</v>
      </c>
      <c r="K254" s="14">
        <f t="shared" ref="K254:K261" si="107">H254</f>
        <v>2.41</v>
      </c>
      <c r="L254" s="14">
        <f t="shared" ref="L254:L261" si="108">K254*10.99%</f>
        <v>0.26485900000000001</v>
      </c>
      <c r="M254" s="14">
        <f t="shared" ref="M254:M261" si="109">K254+L254</f>
        <v>2.6748590000000001</v>
      </c>
      <c r="N254" s="193">
        <f t="shared" ref="N254:N261" si="110">F254*M254</f>
        <v>4065.78568</v>
      </c>
    </row>
    <row r="255" spans="1:14" ht="39" customHeight="1" x14ac:dyDescent="0.25">
      <c r="A255" s="92" t="s">
        <v>832</v>
      </c>
      <c r="B255" s="12" t="s">
        <v>472</v>
      </c>
      <c r="C255" s="11" t="s">
        <v>26</v>
      </c>
      <c r="D255" s="11" t="s">
        <v>473</v>
      </c>
      <c r="E255" s="13" t="s">
        <v>116</v>
      </c>
      <c r="F255" s="12">
        <v>2357.1999999999998</v>
      </c>
      <c r="G255" s="14">
        <v>2.88</v>
      </c>
      <c r="H255" s="14">
        <v>3.52</v>
      </c>
      <c r="I255" s="14">
        <v>8297.34</v>
      </c>
      <c r="J255" s="28">
        <v>5.9224411134903643E-3</v>
      </c>
      <c r="K255" s="14">
        <f t="shared" si="107"/>
        <v>3.52</v>
      </c>
      <c r="L255" s="14">
        <f t="shared" si="108"/>
        <v>0.38684799999999997</v>
      </c>
      <c r="M255" s="14">
        <f t="shared" si="109"/>
        <v>3.9068480000000001</v>
      </c>
      <c r="N255" s="193">
        <f t="shared" si="110"/>
        <v>9209.2221055999998</v>
      </c>
    </row>
    <row r="256" spans="1:14" ht="39" customHeight="1" x14ac:dyDescent="0.25">
      <c r="A256" s="92" t="s">
        <v>833</v>
      </c>
      <c r="B256" s="12" t="s">
        <v>474</v>
      </c>
      <c r="C256" s="11" t="s">
        <v>26</v>
      </c>
      <c r="D256" s="11" t="s">
        <v>475</v>
      </c>
      <c r="E256" s="13" t="s">
        <v>116</v>
      </c>
      <c r="F256" s="12">
        <v>56.8</v>
      </c>
      <c r="G256" s="14">
        <v>16.5</v>
      </c>
      <c r="H256" s="14">
        <v>20.2</v>
      </c>
      <c r="I256" s="14">
        <v>1147.3599999999999</v>
      </c>
      <c r="J256" s="28">
        <v>8.1895788722341186E-4</v>
      </c>
      <c r="K256" s="14">
        <f t="shared" si="107"/>
        <v>20.2</v>
      </c>
      <c r="L256" s="14">
        <f t="shared" si="108"/>
        <v>2.2199800000000001</v>
      </c>
      <c r="M256" s="14">
        <f t="shared" si="109"/>
        <v>22.419979999999999</v>
      </c>
      <c r="N256" s="193">
        <f t="shared" si="110"/>
        <v>1273.4548639999998</v>
      </c>
    </row>
    <row r="257" spans="1:14" ht="14.25" customHeight="1" x14ac:dyDescent="0.25">
      <c r="A257" s="92" t="s">
        <v>834</v>
      </c>
      <c r="B257" s="12" t="s">
        <v>476</v>
      </c>
      <c r="C257" s="11" t="s">
        <v>26</v>
      </c>
      <c r="D257" s="11" t="s">
        <v>477</v>
      </c>
      <c r="E257" s="13" t="s">
        <v>116</v>
      </c>
      <c r="F257" s="12">
        <v>113.6</v>
      </c>
      <c r="G257" s="14">
        <v>31.8</v>
      </c>
      <c r="H257" s="14">
        <v>38.94</v>
      </c>
      <c r="I257" s="14">
        <v>4423.58</v>
      </c>
      <c r="J257" s="28">
        <v>3.1574446823697359E-3</v>
      </c>
      <c r="K257" s="14">
        <f t="shared" si="107"/>
        <v>38.94</v>
      </c>
      <c r="L257" s="14">
        <f t="shared" si="108"/>
        <v>4.2795059999999996</v>
      </c>
      <c r="M257" s="14">
        <f t="shared" si="109"/>
        <v>43.219505999999996</v>
      </c>
      <c r="N257" s="193">
        <f t="shared" si="110"/>
        <v>4909.7358815999996</v>
      </c>
    </row>
    <row r="258" spans="1:14" ht="14.25" customHeight="1" x14ac:dyDescent="0.25">
      <c r="A258" s="92" t="s">
        <v>835</v>
      </c>
      <c r="B258" s="12" t="s">
        <v>478</v>
      </c>
      <c r="C258" s="11" t="s">
        <v>29</v>
      </c>
      <c r="D258" s="11" t="s">
        <v>479</v>
      </c>
      <c r="E258" s="13" t="s">
        <v>116</v>
      </c>
      <c r="F258" s="12">
        <v>12.9</v>
      </c>
      <c r="G258" s="14">
        <v>49.18</v>
      </c>
      <c r="H258" s="14">
        <v>60.23</v>
      </c>
      <c r="I258" s="14">
        <v>776.96</v>
      </c>
      <c r="J258" s="28">
        <v>5.5457530335474656E-4</v>
      </c>
      <c r="K258" s="14">
        <f t="shared" si="107"/>
        <v>60.23</v>
      </c>
      <c r="L258" s="14">
        <f t="shared" si="108"/>
        <v>6.6192769999999994</v>
      </c>
      <c r="M258" s="14">
        <f t="shared" si="109"/>
        <v>66.849277000000001</v>
      </c>
      <c r="N258" s="193">
        <f t="shared" si="110"/>
        <v>862.35567330000003</v>
      </c>
    </row>
    <row r="259" spans="1:14" ht="14.25" customHeight="1" x14ac:dyDescent="0.25">
      <c r="A259" s="92" t="s">
        <v>836</v>
      </c>
      <c r="B259" s="12" t="s">
        <v>480</v>
      </c>
      <c r="C259" s="11" t="s">
        <v>29</v>
      </c>
      <c r="D259" s="11" t="s">
        <v>481</v>
      </c>
      <c r="E259" s="13" t="s">
        <v>116</v>
      </c>
      <c r="F259" s="12">
        <v>51.6</v>
      </c>
      <c r="G259" s="14">
        <v>78.02</v>
      </c>
      <c r="H259" s="14">
        <v>95.55</v>
      </c>
      <c r="I259" s="14">
        <v>4930.38</v>
      </c>
      <c r="J259" s="28">
        <v>3.5191862955032118E-3</v>
      </c>
      <c r="K259" s="14">
        <f t="shared" si="107"/>
        <v>95.55</v>
      </c>
      <c r="L259" s="14">
        <f t="shared" si="108"/>
        <v>10.500945</v>
      </c>
      <c r="M259" s="14">
        <f t="shared" si="109"/>
        <v>106.050945</v>
      </c>
      <c r="N259" s="193">
        <f t="shared" si="110"/>
        <v>5472.2287619999997</v>
      </c>
    </row>
    <row r="260" spans="1:14" ht="39" customHeight="1" x14ac:dyDescent="0.25">
      <c r="A260" s="92" t="s">
        <v>837</v>
      </c>
      <c r="B260" s="12" t="s">
        <v>482</v>
      </c>
      <c r="C260" s="11" t="s">
        <v>26</v>
      </c>
      <c r="D260" s="11" t="s">
        <v>483</v>
      </c>
      <c r="E260" s="13" t="s">
        <v>116</v>
      </c>
      <c r="F260" s="12">
        <v>52.6</v>
      </c>
      <c r="G260" s="14">
        <v>5.48</v>
      </c>
      <c r="H260" s="14">
        <v>6.71</v>
      </c>
      <c r="I260" s="14">
        <v>352.94</v>
      </c>
      <c r="J260" s="28">
        <v>2.5192005710206997E-4</v>
      </c>
      <c r="K260" s="14">
        <f t="shared" si="107"/>
        <v>6.71</v>
      </c>
      <c r="L260" s="14">
        <f t="shared" si="108"/>
        <v>0.737429</v>
      </c>
      <c r="M260" s="14">
        <f t="shared" si="109"/>
        <v>7.4474289999999996</v>
      </c>
      <c r="N260" s="193">
        <f t="shared" si="110"/>
        <v>391.73476540000001</v>
      </c>
    </row>
    <row r="261" spans="1:14" ht="14.25" customHeight="1" x14ac:dyDescent="0.25">
      <c r="A261" s="92" t="s">
        <v>838</v>
      </c>
      <c r="B261" s="12" t="s">
        <v>484</v>
      </c>
      <c r="C261" s="11" t="s">
        <v>29</v>
      </c>
      <c r="D261" s="11" t="s">
        <v>485</v>
      </c>
      <c r="E261" s="13" t="s">
        <v>116</v>
      </c>
      <c r="F261" s="12">
        <v>53.6</v>
      </c>
      <c r="G261" s="14">
        <v>8.01</v>
      </c>
      <c r="H261" s="14">
        <v>9.8000000000000007</v>
      </c>
      <c r="I261" s="14">
        <v>525.28</v>
      </c>
      <c r="J261" s="28">
        <v>3.7493219129193435E-4</v>
      </c>
      <c r="K261" s="14">
        <f t="shared" si="107"/>
        <v>9.8000000000000007</v>
      </c>
      <c r="L261" s="14">
        <f t="shared" si="108"/>
        <v>1.0770200000000001</v>
      </c>
      <c r="M261" s="14">
        <f t="shared" si="109"/>
        <v>10.877020000000002</v>
      </c>
      <c r="N261" s="193">
        <f t="shared" si="110"/>
        <v>583.00827200000015</v>
      </c>
    </row>
    <row r="262" spans="1:14" ht="14.25" customHeight="1" x14ac:dyDescent="0.25">
      <c r="A262" s="91" t="s">
        <v>486</v>
      </c>
      <c r="B262" s="8"/>
      <c r="C262" s="8"/>
      <c r="D262" s="8" t="s">
        <v>487</v>
      </c>
      <c r="E262" s="8"/>
      <c r="F262" s="9"/>
      <c r="G262" s="8"/>
      <c r="H262" s="8"/>
      <c r="I262" s="10">
        <v>12008.46</v>
      </c>
      <c r="J262" s="27">
        <v>8.5713490364025691E-3</v>
      </c>
      <c r="K262" s="8"/>
      <c r="L262" s="8"/>
      <c r="M262" s="8"/>
      <c r="N262" s="198">
        <f>SUM(N263:N273)</f>
        <v>13328.189754000001</v>
      </c>
    </row>
    <row r="263" spans="1:14" ht="14.25" customHeight="1" x14ac:dyDescent="0.25">
      <c r="A263" s="92" t="s">
        <v>839</v>
      </c>
      <c r="B263" s="12" t="s">
        <v>488</v>
      </c>
      <c r="C263" s="11" t="s">
        <v>26</v>
      </c>
      <c r="D263" s="11" t="s">
        <v>489</v>
      </c>
      <c r="E263" s="13" t="s">
        <v>31</v>
      </c>
      <c r="F263" s="12">
        <v>56</v>
      </c>
      <c r="G263" s="14">
        <v>20.29</v>
      </c>
      <c r="H263" s="14">
        <v>24.84</v>
      </c>
      <c r="I263" s="14">
        <v>1391.04</v>
      </c>
      <c r="J263" s="28">
        <v>9.9289079229122066E-4</v>
      </c>
      <c r="K263" s="14">
        <f t="shared" ref="K263:K273" si="111">H263</f>
        <v>24.84</v>
      </c>
      <c r="L263" s="14">
        <f t="shared" ref="L263:L273" si="112">K263*10.99%</f>
        <v>2.7299159999999998</v>
      </c>
      <c r="M263" s="14">
        <f t="shared" ref="M263:M273" si="113">K263+L263</f>
        <v>27.569915999999999</v>
      </c>
      <c r="N263" s="193">
        <f t="shared" ref="N263:N273" si="114">F263*M263</f>
        <v>1543.9152959999999</v>
      </c>
    </row>
    <row r="264" spans="1:14" ht="14.25" customHeight="1" x14ac:dyDescent="0.25">
      <c r="A264" s="92" t="s">
        <v>840</v>
      </c>
      <c r="B264" s="12" t="s">
        <v>490</v>
      </c>
      <c r="C264" s="11" t="s">
        <v>26</v>
      </c>
      <c r="D264" s="11" t="s">
        <v>491</v>
      </c>
      <c r="E264" s="13" t="s">
        <v>31</v>
      </c>
      <c r="F264" s="12">
        <v>4</v>
      </c>
      <c r="G264" s="14">
        <v>21.73</v>
      </c>
      <c r="H264" s="14">
        <v>26.61</v>
      </c>
      <c r="I264" s="14">
        <v>106.44</v>
      </c>
      <c r="J264" s="28">
        <v>7.5974304068522478E-5</v>
      </c>
      <c r="K264" s="14">
        <f t="shared" si="111"/>
        <v>26.61</v>
      </c>
      <c r="L264" s="14">
        <f t="shared" si="112"/>
        <v>2.924439</v>
      </c>
      <c r="M264" s="14">
        <f t="shared" si="113"/>
        <v>29.534438999999999</v>
      </c>
      <c r="N264" s="193">
        <f t="shared" si="114"/>
        <v>118.137756</v>
      </c>
    </row>
    <row r="265" spans="1:14" ht="14.25" customHeight="1" x14ac:dyDescent="0.25">
      <c r="A265" s="92" t="s">
        <v>841</v>
      </c>
      <c r="B265" s="12" t="s">
        <v>492</v>
      </c>
      <c r="C265" s="11" t="s">
        <v>26</v>
      </c>
      <c r="D265" s="11" t="s">
        <v>493</v>
      </c>
      <c r="E265" s="13" t="s">
        <v>31</v>
      </c>
      <c r="F265" s="12">
        <v>7</v>
      </c>
      <c r="G265" s="14">
        <v>19.34</v>
      </c>
      <c r="H265" s="14">
        <v>23.68</v>
      </c>
      <c r="I265" s="14">
        <v>165.76</v>
      </c>
      <c r="J265" s="28">
        <v>1.1831548893647394E-4</v>
      </c>
      <c r="K265" s="14">
        <f t="shared" si="111"/>
        <v>23.68</v>
      </c>
      <c r="L265" s="14">
        <f t="shared" si="112"/>
        <v>2.6024319999999999</v>
      </c>
      <c r="M265" s="14">
        <f t="shared" si="113"/>
        <v>26.282432</v>
      </c>
      <c r="N265" s="193">
        <f t="shared" si="114"/>
        <v>183.977024</v>
      </c>
    </row>
    <row r="266" spans="1:14" ht="14.25" customHeight="1" x14ac:dyDescent="0.25">
      <c r="A266" s="92" t="s">
        <v>842</v>
      </c>
      <c r="B266" s="12" t="s">
        <v>494</v>
      </c>
      <c r="C266" s="11" t="s">
        <v>26</v>
      </c>
      <c r="D266" s="11" t="s">
        <v>495</v>
      </c>
      <c r="E266" s="13" t="s">
        <v>31</v>
      </c>
      <c r="F266" s="12">
        <v>1</v>
      </c>
      <c r="G266" s="14">
        <v>29.48</v>
      </c>
      <c r="H266" s="14">
        <v>36.1</v>
      </c>
      <c r="I266" s="14">
        <v>36.1</v>
      </c>
      <c r="J266" s="28">
        <v>2.5767309064953605E-5</v>
      </c>
      <c r="K266" s="14">
        <f t="shared" si="111"/>
        <v>36.1</v>
      </c>
      <c r="L266" s="14">
        <f t="shared" si="112"/>
        <v>3.96739</v>
      </c>
      <c r="M266" s="14">
        <f t="shared" si="113"/>
        <v>40.067390000000003</v>
      </c>
      <c r="N266" s="193">
        <f t="shared" si="114"/>
        <v>40.067390000000003</v>
      </c>
    </row>
    <row r="267" spans="1:14" ht="14.25" customHeight="1" x14ac:dyDescent="0.25">
      <c r="A267" s="92" t="s">
        <v>843</v>
      </c>
      <c r="B267" s="12" t="s">
        <v>496</v>
      </c>
      <c r="C267" s="11" t="s">
        <v>26</v>
      </c>
      <c r="D267" s="11" t="s">
        <v>497</v>
      </c>
      <c r="E267" s="13" t="s">
        <v>31</v>
      </c>
      <c r="F267" s="12">
        <v>11</v>
      </c>
      <c r="G267" s="14">
        <v>39.619999999999997</v>
      </c>
      <c r="H267" s="14">
        <v>48.52</v>
      </c>
      <c r="I267" s="14">
        <v>533.72</v>
      </c>
      <c r="J267" s="28">
        <v>3.809564596716631E-4</v>
      </c>
      <c r="K267" s="14">
        <f t="shared" si="111"/>
        <v>48.52</v>
      </c>
      <c r="L267" s="14">
        <f t="shared" si="112"/>
        <v>5.3323480000000005</v>
      </c>
      <c r="M267" s="14">
        <f t="shared" si="113"/>
        <v>53.852348000000006</v>
      </c>
      <c r="N267" s="193">
        <f t="shared" si="114"/>
        <v>592.37582800000007</v>
      </c>
    </row>
    <row r="268" spans="1:14" ht="39" customHeight="1" x14ac:dyDescent="0.25">
      <c r="A268" s="92" t="s">
        <v>844</v>
      </c>
      <c r="B268" s="12" t="s">
        <v>498</v>
      </c>
      <c r="C268" s="11" t="s">
        <v>26</v>
      </c>
      <c r="D268" s="11" t="s">
        <v>499</v>
      </c>
      <c r="E268" s="13" t="s">
        <v>31</v>
      </c>
      <c r="F268" s="12">
        <v>3</v>
      </c>
      <c r="G268" s="14">
        <v>32.89</v>
      </c>
      <c r="H268" s="14">
        <v>40.28</v>
      </c>
      <c r="I268" s="14">
        <v>120.84</v>
      </c>
      <c r="J268" s="28">
        <v>8.6252676659528905E-5</v>
      </c>
      <c r="K268" s="14">
        <f t="shared" si="111"/>
        <v>40.28</v>
      </c>
      <c r="L268" s="14">
        <f t="shared" si="112"/>
        <v>4.4267719999999997</v>
      </c>
      <c r="M268" s="14">
        <f t="shared" si="113"/>
        <v>44.706772000000001</v>
      </c>
      <c r="N268" s="193">
        <f t="shared" si="114"/>
        <v>134.120316</v>
      </c>
    </row>
    <row r="269" spans="1:14" ht="14.25" customHeight="1" x14ac:dyDescent="0.25">
      <c r="A269" s="92" t="s">
        <v>845</v>
      </c>
      <c r="B269" s="12" t="s">
        <v>500</v>
      </c>
      <c r="C269" s="11" t="s">
        <v>29</v>
      </c>
      <c r="D269" s="11" t="s">
        <v>501</v>
      </c>
      <c r="E269" s="13" t="s">
        <v>31</v>
      </c>
      <c r="F269" s="12">
        <v>7</v>
      </c>
      <c r="G269" s="14">
        <v>9.89</v>
      </c>
      <c r="H269" s="14">
        <v>12.11</v>
      </c>
      <c r="I269" s="14">
        <v>84.77</v>
      </c>
      <c r="J269" s="28">
        <v>6.0506780870806567E-5</v>
      </c>
      <c r="K269" s="14">
        <f t="shared" si="111"/>
        <v>12.11</v>
      </c>
      <c r="L269" s="14">
        <f t="shared" si="112"/>
        <v>1.330889</v>
      </c>
      <c r="M269" s="14">
        <f t="shared" si="113"/>
        <v>13.440888999999999</v>
      </c>
      <c r="N269" s="193">
        <f t="shared" si="114"/>
        <v>94.08622299999999</v>
      </c>
    </row>
    <row r="270" spans="1:14" ht="14.25" customHeight="1" x14ac:dyDescent="0.25">
      <c r="A270" s="92" t="s">
        <v>846</v>
      </c>
      <c r="B270" s="12" t="s">
        <v>502</v>
      </c>
      <c r="C270" s="11" t="s">
        <v>29</v>
      </c>
      <c r="D270" s="11" t="s">
        <v>503</v>
      </c>
      <c r="E270" s="13" t="s">
        <v>31</v>
      </c>
      <c r="F270" s="12">
        <v>74</v>
      </c>
      <c r="G270" s="14">
        <v>86.64</v>
      </c>
      <c r="H270" s="14">
        <v>106.1</v>
      </c>
      <c r="I270" s="14">
        <v>7851.4</v>
      </c>
      <c r="J270" s="28">
        <v>5.6041399000713778E-3</v>
      </c>
      <c r="K270" s="14">
        <f t="shared" si="111"/>
        <v>106.1</v>
      </c>
      <c r="L270" s="14">
        <f t="shared" si="112"/>
        <v>11.66039</v>
      </c>
      <c r="M270" s="14">
        <f t="shared" si="113"/>
        <v>117.76039</v>
      </c>
      <c r="N270" s="193">
        <f t="shared" si="114"/>
        <v>8714.2688600000001</v>
      </c>
    </row>
    <row r="271" spans="1:14" ht="14.25" customHeight="1" x14ac:dyDescent="0.25">
      <c r="A271" s="92" t="s">
        <v>847</v>
      </c>
      <c r="B271" s="12" t="s">
        <v>504</v>
      </c>
      <c r="C271" s="11" t="s">
        <v>29</v>
      </c>
      <c r="D271" s="11" t="s">
        <v>505</v>
      </c>
      <c r="E271" s="13" t="s">
        <v>31</v>
      </c>
      <c r="F271" s="12">
        <v>3</v>
      </c>
      <c r="G271" s="14">
        <v>77.400000000000006</v>
      </c>
      <c r="H271" s="14">
        <v>94.79</v>
      </c>
      <c r="I271" s="14">
        <v>284.37</v>
      </c>
      <c r="J271" s="28">
        <v>2.0297644539614561E-4</v>
      </c>
      <c r="K271" s="14">
        <f t="shared" si="111"/>
        <v>94.79</v>
      </c>
      <c r="L271" s="14">
        <f t="shared" si="112"/>
        <v>10.417421000000001</v>
      </c>
      <c r="M271" s="14">
        <f t="shared" si="113"/>
        <v>105.20742100000001</v>
      </c>
      <c r="N271" s="193">
        <f t="shared" si="114"/>
        <v>315.62226300000003</v>
      </c>
    </row>
    <row r="272" spans="1:14" ht="25.5" customHeight="1" x14ac:dyDescent="0.25">
      <c r="A272" s="92" t="s">
        <v>848</v>
      </c>
      <c r="B272" s="12" t="s">
        <v>506</v>
      </c>
      <c r="C272" s="11" t="s">
        <v>29</v>
      </c>
      <c r="D272" s="11" t="s">
        <v>507</v>
      </c>
      <c r="E272" s="13" t="s">
        <v>31</v>
      </c>
      <c r="F272" s="12">
        <v>3</v>
      </c>
      <c r="G272" s="14">
        <v>289.17</v>
      </c>
      <c r="H272" s="14">
        <v>354.14</v>
      </c>
      <c r="I272" s="14">
        <v>1062.42</v>
      </c>
      <c r="J272" s="28">
        <v>7.5832976445396147E-4</v>
      </c>
      <c r="K272" s="14">
        <f t="shared" si="111"/>
        <v>354.14</v>
      </c>
      <c r="L272" s="14">
        <f t="shared" si="112"/>
        <v>38.919985999999994</v>
      </c>
      <c r="M272" s="14">
        <f t="shared" si="113"/>
        <v>393.05998599999998</v>
      </c>
      <c r="N272" s="193">
        <f t="shared" si="114"/>
        <v>1179.1799579999999</v>
      </c>
    </row>
    <row r="273" spans="1:14" ht="14.25" customHeight="1" x14ac:dyDescent="0.25">
      <c r="A273" s="92" t="s">
        <v>849</v>
      </c>
      <c r="B273" s="12" t="s">
        <v>508</v>
      </c>
      <c r="C273" s="11" t="s">
        <v>26</v>
      </c>
      <c r="D273" s="11" t="s">
        <v>509</v>
      </c>
      <c r="E273" s="13" t="s">
        <v>31</v>
      </c>
      <c r="F273" s="12">
        <v>10</v>
      </c>
      <c r="G273" s="14">
        <v>30.35</v>
      </c>
      <c r="H273" s="14">
        <v>37.159999999999997</v>
      </c>
      <c r="I273" s="14">
        <v>371.6</v>
      </c>
      <c r="J273" s="28">
        <v>2.652391149179158E-4</v>
      </c>
      <c r="K273" s="14">
        <f t="shared" si="111"/>
        <v>37.159999999999997</v>
      </c>
      <c r="L273" s="14">
        <f t="shared" si="112"/>
        <v>4.0838839999999994</v>
      </c>
      <c r="M273" s="14">
        <f t="shared" si="113"/>
        <v>41.243883999999994</v>
      </c>
      <c r="N273" s="193">
        <f t="shared" si="114"/>
        <v>412.43883999999991</v>
      </c>
    </row>
    <row r="274" spans="1:14" ht="24" customHeight="1" x14ac:dyDescent="0.25">
      <c r="A274" s="91" t="s">
        <v>510</v>
      </c>
      <c r="B274" s="8"/>
      <c r="C274" s="8"/>
      <c r="D274" s="8" t="s">
        <v>511</v>
      </c>
      <c r="E274" s="8"/>
      <c r="F274" s="9"/>
      <c r="G274" s="8"/>
      <c r="H274" s="8"/>
      <c r="I274" s="10">
        <v>47328.87</v>
      </c>
      <c r="J274" s="27">
        <v>3.3782205567451817E-2</v>
      </c>
      <c r="K274" s="8"/>
      <c r="L274" s="8"/>
      <c r="M274" s="8"/>
      <c r="N274" s="198">
        <f>SUM(N275:N283)</f>
        <v>52530.319472399999</v>
      </c>
    </row>
    <row r="275" spans="1:14" ht="14.25" customHeight="1" x14ac:dyDescent="0.25">
      <c r="A275" s="92" t="s">
        <v>850</v>
      </c>
      <c r="B275" s="12" t="s">
        <v>512</v>
      </c>
      <c r="C275" s="11" t="s">
        <v>26</v>
      </c>
      <c r="D275" s="11" t="s">
        <v>513</v>
      </c>
      <c r="E275" s="13" t="s">
        <v>31</v>
      </c>
      <c r="F275" s="12">
        <v>1</v>
      </c>
      <c r="G275" s="14">
        <v>55.44</v>
      </c>
      <c r="H275" s="14">
        <v>67.89</v>
      </c>
      <c r="I275" s="14">
        <v>67.89</v>
      </c>
      <c r="J275" s="28">
        <v>4.8458244111349037E-5</v>
      </c>
      <c r="K275" s="14">
        <f t="shared" ref="K275:K283" si="115">H275</f>
        <v>67.89</v>
      </c>
      <c r="L275" s="14">
        <f t="shared" ref="L275:L283" si="116">K275*10.99%</f>
        <v>7.4611109999999998</v>
      </c>
      <c r="M275" s="14">
        <f t="shared" ref="M275:M283" si="117">K275+L275</f>
        <v>75.351111000000003</v>
      </c>
      <c r="N275" s="193">
        <f t="shared" ref="N275:N283" si="118">F275*M275</f>
        <v>75.351111000000003</v>
      </c>
    </row>
    <row r="276" spans="1:14" ht="14.25" customHeight="1" x14ac:dyDescent="0.25">
      <c r="A276" s="92" t="s">
        <v>851</v>
      </c>
      <c r="B276" s="12" t="s">
        <v>514</v>
      </c>
      <c r="C276" s="11" t="s">
        <v>29</v>
      </c>
      <c r="D276" s="11" t="s">
        <v>515</v>
      </c>
      <c r="E276" s="13" t="s">
        <v>116</v>
      </c>
      <c r="F276" s="12">
        <v>26</v>
      </c>
      <c r="G276" s="14">
        <v>9.01</v>
      </c>
      <c r="H276" s="14">
        <v>11.03</v>
      </c>
      <c r="I276" s="14">
        <v>286.77999999999997</v>
      </c>
      <c r="J276" s="28">
        <v>2.0469664525339044E-4</v>
      </c>
      <c r="K276" s="14">
        <f t="shared" si="115"/>
        <v>11.03</v>
      </c>
      <c r="L276" s="14">
        <f t="shared" si="116"/>
        <v>1.212197</v>
      </c>
      <c r="M276" s="14">
        <f t="shared" si="117"/>
        <v>12.242196999999999</v>
      </c>
      <c r="N276" s="193">
        <f t="shared" si="118"/>
        <v>318.297122</v>
      </c>
    </row>
    <row r="277" spans="1:14" ht="25.5" customHeight="1" x14ac:dyDescent="0.25">
      <c r="A277" s="92" t="s">
        <v>852</v>
      </c>
      <c r="B277" s="12" t="s">
        <v>516</v>
      </c>
      <c r="C277" s="11" t="s">
        <v>26</v>
      </c>
      <c r="D277" s="11" t="s">
        <v>517</v>
      </c>
      <c r="E277" s="13" t="s">
        <v>31</v>
      </c>
      <c r="F277" s="12">
        <v>26</v>
      </c>
      <c r="G277" s="14">
        <v>13.84</v>
      </c>
      <c r="H277" s="14">
        <v>16.940000000000001</v>
      </c>
      <c r="I277" s="14">
        <v>440.44</v>
      </c>
      <c r="J277" s="28">
        <v>3.143754461099215E-4</v>
      </c>
      <c r="K277" s="14">
        <f t="shared" si="115"/>
        <v>16.940000000000001</v>
      </c>
      <c r="L277" s="14">
        <f t="shared" si="116"/>
        <v>1.8617060000000001</v>
      </c>
      <c r="M277" s="14">
        <f t="shared" si="117"/>
        <v>18.801706000000003</v>
      </c>
      <c r="N277" s="193">
        <f t="shared" si="118"/>
        <v>488.84435600000006</v>
      </c>
    </row>
    <row r="278" spans="1:14" ht="25.5" customHeight="1" x14ac:dyDescent="0.25">
      <c r="A278" s="92" t="s">
        <v>853</v>
      </c>
      <c r="B278" s="12" t="s">
        <v>518</v>
      </c>
      <c r="C278" s="11" t="s">
        <v>22</v>
      </c>
      <c r="D278" s="11" t="s">
        <v>519</v>
      </c>
      <c r="E278" s="13" t="s">
        <v>365</v>
      </c>
      <c r="F278" s="12">
        <v>1</v>
      </c>
      <c r="G278" s="14">
        <v>251.72</v>
      </c>
      <c r="H278" s="14">
        <v>308.27999999999997</v>
      </c>
      <c r="I278" s="14">
        <v>308.27999999999997</v>
      </c>
      <c r="J278" s="28">
        <v>2.2004282655246253E-4</v>
      </c>
      <c r="K278" s="14">
        <f t="shared" si="115"/>
        <v>308.27999999999997</v>
      </c>
      <c r="L278" s="14">
        <f t="shared" si="116"/>
        <v>33.879971999999995</v>
      </c>
      <c r="M278" s="14">
        <f t="shared" si="117"/>
        <v>342.15997199999998</v>
      </c>
      <c r="N278" s="193">
        <f t="shared" si="118"/>
        <v>342.15997199999998</v>
      </c>
    </row>
    <row r="279" spans="1:14" ht="25.5" customHeight="1" x14ac:dyDescent="0.25">
      <c r="A279" s="92" t="s">
        <v>854</v>
      </c>
      <c r="B279" s="12" t="s">
        <v>520</v>
      </c>
      <c r="C279" s="11" t="s">
        <v>26</v>
      </c>
      <c r="D279" s="11" t="s">
        <v>521</v>
      </c>
      <c r="E279" s="13" t="s">
        <v>31</v>
      </c>
      <c r="F279" s="12">
        <v>26</v>
      </c>
      <c r="G279" s="14">
        <v>55.81</v>
      </c>
      <c r="H279" s="14">
        <v>68.349999999999994</v>
      </c>
      <c r="I279" s="14">
        <v>1777.1</v>
      </c>
      <c r="J279" s="28">
        <v>1.2684511063526052E-3</v>
      </c>
      <c r="K279" s="14">
        <f t="shared" si="115"/>
        <v>68.349999999999994</v>
      </c>
      <c r="L279" s="14">
        <f t="shared" si="116"/>
        <v>7.5116649999999989</v>
      </c>
      <c r="M279" s="14">
        <f t="shared" si="117"/>
        <v>75.861664999999988</v>
      </c>
      <c r="N279" s="193">
        <f t="shared" si="118"/>
        <v>1972.4032899999997</v>
      </c>
    </row>
    <row r="280" spans="1:14" ht="25.5" customHeight="1" x14ac:dyDescent="0.25">
      <c r="A280" s="92" t="s">
        <v>855</v>
      </c>
      <c r="B280" s="12" t="s">
        <v>522</v>
      </c>
      <c r="C280" s="11" t="s">
        <v>26</v>
      </c>
      <c r="D280" s="11" t="s">
        <v>523</v>
      </c>
      <c r="E280" s="13" t="s">
        <v>116</v>
      </c>
      <c r="F280" s="12">
        <v>449.2</v>
      </c>
      <c r="G280" s="14">
        <v>41.99</v>
      </c>
      <c r="H280" s="14">
        <v>51.42</v>
      </c>
      <c r="I280" s="14">
        <v>23097.86</v>
      </c>
      <c r="J280" s="28">
        <v>1.6486695217701641E-2</v>
      </c>
      <c r="K280" s="14">
        <f t="shared" si="115"/>
        <v>51.42</v>
      </c>
      <c r="L280" s="14">
        <f t="shared" si="116"/>
        <v>5.6510579999999999</v>
      </c>
      <c r="M280" s="14">
        <f t="shared" si="117"/>
        <v>57.071058000000001</v>
      </c>
      <c r="N280" s="193">
        <f t="shared" si="118"/>
        <v>25636.319253599999</v>
      </c>
    </row>
    <row r="281" spans="1:14" ht="25.5" customHeight="1" x14ac:dyDescent="0.25">
      <c r="A281" s="92" t="s">
        <v>856</v>
      </c>
      <c r="B281" s="12" t="s">
        <v>524</v>
      </c>
      <c r="C281" s="11" t="s">
        <v>26</v>
      </c>
      <c r="D281" s="11" t="s">
        <v>525</v>
      </c>
      <c r="E281" s="13" t="s">
        <v>116</v>
      </c>
      <c r="F281" s="12">
        <v>305.2</v>
      </c>
      <c r="G281" s="14">
        <v>55.7</v>
      </c>
      <c r="H281" s="14">
        <v>68.209999999999994</v>
      </c>
      <c r="I281" s="14">
        <v>20817.689999999999</v>
      </c>
      <c r="J281" s="28">
        <v>1.485916488222698E-2</v>
      </c>
      <c r="K281" s="14">
        <f t="shared" si="115"/>
        <v>68.209999999999994</v>
      </c>
      <c r="L281" s="14">
        <f t="shared" si="116"/>
        <v>7.4962789999999995</v>
      </c>
      <c r="M281" s="14">
        <f t="shared" si="117"/>
        <v>75.706278999999995</v>
      </c>
      <c r="N281" s="193">
        <f t="shared" si="118"/>
        <v>23105.556350799998</v>
      </c>
    </row>
    <row r="282" spans="1:14" ht="25.5" customHeight="1" x14ac:dyDescent="0.25">
      <c r="A282" s="92" t="s">
        <v>857</v>
      </c>
      <c r="B282" s="12" t="s">
        <v>526</v>
      </c>
      <c r="C282" s="11" t="s">
        <v>26</v>
      </c>
      <c r="D282" s="11" t="s">
        <v>527</v>
      </c>
      <c r="E282" s="13" t="s">
        <v>31</v>
      </c>
      <c r="F282" s="12">
        <v>5</v>
      </c>
      <c r="G282" s="14">
        <v>32.119999999999997</v>
      </c>
      <c r="H282" s="14">
        <v>39.33</v>
      </c>
      <c r="I282" s="14">
        <v>196.65</v>
      </c>
      <c r="J282" s="28">
        <v>1.4036402569593147E-4</v>
      </c>
      <c r="K282" s="14">
        <f t="shared" si="115"/>
        <v>39.33</v>
      </c>
      <c r="L282" s="14">
        <f t="shared" si="116"/>
        <v>4.3223669999999998</v>
      </c>
      <c r="M282" s="14">
        <f t="shared" si="117"/>
        <v>43.652366999999998</v>
      </c>
      <c r="N282" s="193">
        <f t="shared" si="118"/>
        <v>218.26183499999999</v>
      </c>
    </row>
    <row r="283" spans="1:14" ht="14.25" customHeight="1" x14ac:dyDescent="0.25">
      <c r="A283" s="92" t="s">
        <v>858</v>
      </c>
      <c r="B283" s="12" t="s">
        <v>528</v>
      </c>
      <c r="C283" s="11" t="s">
        <v>29</v>
      </c>
      <c r="D283" s="11" t="s">
        <v>529</v>
      </c>
      <c r="E283" s="13" t="s">
        <v>31</v>
      </c>
      <c r="F283" s="12">
        <v>26</v>
      </c>
      <c r="G283" s="14">
        <v>10.56</v>
      </c>
      <c r="H283" s="14">
        <v>12.93</v>
      </c>
      <c r="I283" s="14">
        <v>336.18</v>
      </c>
      <c r="J283" s="28">
        <v>2.3995717344753748E-4</v>
      </c>
      <c r="K283" s="14">
        <f t="shared" si="115"/>
        <v>12.93</v>
      </c>
      <c r="L283" s="14">
        <f t="shared" si="116"/>
        <v>1.4210069999999999</v>
      </c>
      <c r="M283" s="14">
        <f t="shared" si="117"/>
        <v>14.351006999999999</v>
      </c>
      <c r="N283" s="193">
        <f t="shared" si="118"/>
        <v>373.12618199999997</v>
      </c>
    </row>
    <row r="284" spans="1:14" ht="14.25" customHeight="1" x14ac:dyDescent="0.25">
      <c r="A284" s="91" t="s">
        <v>530</v>
      </c>
      <c r="B284" s="8"/>
      <c r="C284" s="8"/>
      <c r="D284" s="8" t="s">
        <v>531</v>
      </c>
      <c r="E284" s="8"/>
      <c r="F284" s="9"/>
      <c r="G284" s="8"/>
      <c r="H284" s="8"/>
      <c r="I284" s="10">
        <v>56091.17</v>
      </c>
      <c r="J284" s="27">
        <v>4.0036523911491789E-2</v>
      </c>
      <c r="K284" s="8"/>
      <c r="L284" s="8"/>
      <c r="M284" s="8"/>
      <c r="N284" s="192"/>
    </row>
    <row r="285" spans="1:14" ht="14.25" customHeight="1" x14ac:dyDescent="0.25">
      <c r="A285" s="91" t="s">
        <v>532</v>
      </c>
      <c r="B285" s="8"/>
      <c r="C285" s="8"/>
      <c r="D285" s="8" t="s">
        <v>533</v>
      </c>
      <c r="E285" s="8"/>
      <c r="F285" s="9"/>
      <c r="G285" s="8"/>
      <c r="H285" s="8"/>
      <c r="I285" s="10">
        <v>11911.26</v>
      </c>
      <c r="J285" s="27">
        <v>8.5019700214132767E-3</v>
      </c>
      <c r="K285" s="8"/>
      <c r="L285" s="8"/>
      <c r="M285" s="8"/>
      <c r="N285" s="198">
        <f>SUM(N286:N290)</f>
        <v>13220.327563189998</v>
      </c>
    </row>
    <row r="286" spans="1:14" ht="18" customHeight="1" x14ac:dyDescent="0.25">
      <c r="A286" s="92" t="s">
        <v>859</v>
      </c>
      <c r="B286" s="12" t="s">
        <v>534</v>
      </c>
      <c r="C286" s="11" t="s">
        <v>29</v>
      </c>
      <c r="D286" s="11" t="s">
        <v>535</v>
      </c>
      <c r="E286" s="13" t="s">
        <v>24</v>
      </c>
      <c r="F286" s="12">
        <v>12.22</v>
      </c>
      <c r="G286" s="14">
        <v>248.95</v>
      </c>
      <c r="H286" s="14">
        <v>304.88</v>
      </c>
      <c r="I286" s="14">
        <v>3725.63</v>
      </c>
      <c r="J286" s="28">
        <v>2.6592648108493934E-3</v>
      </c>
      <c r="K286" s="14">
        <f t="shared" ref="K286:K290" si="119">H286</f>
        <v>304.88</v>
      </c>
      <c r="L286" s="14">
        <f t="shared" ref="L286:L290" si="120">K286*10.99%</f>
        <v>33.506312000000001</v>
      </c>
      <c r="M286" s="14">
        <f t="shared" ref="M286:M290" si="121">K286+L286</f>
        <v>338.38631199999998</v>
      </c>
      <c r="N286" s="193">
        <f t="shared" ref="N286:N290" si="122">F286*M286</f>
        <v>4135.08073264</v>
      </c>
    </row>
    <row r="287" spans="1:14" ht="16.5" customHeight="1" x14ac:dyDescent="0.25">
      <c r="A287" s="92" t="s">
        <v>860</v>
      </c>
      <c r="B287" s="12" t="s">
        <v>534</v>
      </c>
      <c r="C287" s="11" t="s">
        <v>29</v>
      </c>
      <c r="D287" s="11" t="s">
        <v>535</v>
      </c>
      <c r="E287" s="13" t="s">
        <v>24</v>
      </c>
      <c r="F287" s="12">
        <v>3.5</v>
      </c>
      <c r="G287" s="14">
        <v>248.95</v>
      </c>
      <c r="H287" s="14">
        <v>304.88</v>
      </c>
      <c r="I287" s="14">
        <v>1067.08</v>
      </c>
      <c r="J287" s="28">
        <v>7.6165596002855098E-4</v>
      </c>
      <c r="K287" s="14">
        <f t="shared" si="119"/>
        <v>304.88</v>
      </c>
      <c r="L287" s="14">
        <f t="shared" si="120"/>
        <v>33.506312000000001</v>
      </c>
      <c r="M287" s="14">
        <f t="shared" si="121"/>
        <v>338.38631199999998</v>
      </c>
      <c r="N287" s="193">
        <f t="shared" si="122"/>
        <v>1184.3520919999999</v>
      </c>
    </row>
    <row r="288" spans="1:14" ht="19.5" customHeight="1" x14ac:dyDescent="0.25">
      <c r="A288" s="92" t="s">
        <v>861</v>
      </c>
      <c r="B288" s="12" t="s">
        <v>536</v>
      </c>
      <c r="C288" s="11" t="s">
        <v>29</v>
      </c>
      <c r="D288" s="11" t="s">
        <v>537</v>
      </c>
      <c r="E288" s="13" t="s">
        <v>116</v>
      </c>
      <c r="F288" s="12">
        <v>71.3</v>
      </c>
      <c r="G288" s="14">
        <v>64.959999999999994</v>
      </c>
      <c r="H288" s="14">
        <v>79.55</v>
      </c>
      <c r="I288" s="14">
        <v>5671.91</v>
      </c>
      <c r="J288" s="28">
        <v>4.0484725196288365E-3</v>
      </c>
      <c r="K288" s="14">
        <f t="shared" si="119"/>
        <v>79.55</v>
      </c>
      <c r="L288" s="14">
        <f t="shared" si="120"/>
        <v>8.7425449999999998</v>
      </c>
      <c r="M288" s="14">
        <f t="shared" si="121"/>
        <v>88.29254499999999</v>
      </c>
      <c r="N288" s="193">
        <f t="shared" si="122"/>
        <v>6295.2584584999986</v>
      </c>
    </row>
    <row r="289" spans="1:14" ht="18" customHeight="1" x14ac:dyDescent="0.25">
      <c r="A289" s="92" t="s">
        <v>862</v>
      </c>
      <c r="B289" s="12" t="s">
        <v>538</v>
      </c>
      <c r="C289" s="11" t="s">
        <v>29</v>
      </c>
      <c r="D289" s="11" t="s">
        <v>539</v>
      </c>
      <c r="E289" s="13" t="s">
        <v>24</v>
      </c>
      <c r="F289" s="12">
        <v>6.55</v>
      </c>
      <c r="G289" s="14">
        <v>148.33000000000001</v>
      </c>
      <c r="H289" s="14">
        <v>181.65</v>
      </c>
      <c r="I289" s="14">
        <v>1189.8</v>
      </c>
      <c r="J289" s="28">
        <v>8.4925053533190583E-4</v>
      </c>
      <c r="K289" s="14">
        <f t="shared" si="119"/>
        <v>181.65</v>
      </c>
      <c r="L289" s="14">
        <f t="shared" si="120"/>
        <v>19.963335000000001</v>
      </c>
      <c r="M289" s="14">
        <f t="shared" si="121"/>
        <v>201.61333500000001</v>
      </c>
      <c r="N289" s="193">
        <f t="shared" si="122"/>
        <v>1320.5673442499999</v>
      </c>
    </row>
    <row r="290" spans="1:14" ht="25.5" customHeight="1" x14ac:dyDescent="0.25">
      <c r="A290" s="92" t="s">
        <v>863</v>
      </c>
      <c r="B290" s="12" t="s">
        <v>540</v>
      </c>
      <c r="C290" s="11" t="s">
        <v>29</v>
      </c>
      <c r="D290" s="11" t="s">
        <v>541</v>
      </c>
      <c r="E290" s="13" t="s">
        <v>24</v>
      </c>
      <c r="F290" s="12">
        <v>1.9</v>
      </c>
      <c r="G290" s="14">
        <v>110.38</v>
      </c>
      <c r="H290" s="14">
        <v>135.18</v>
      </c>
      <c r="I290" s="14">
        <v>256.83999999999997</v>
      </c>
      <c r="J290" s="28">
        <v>1.8332619557458958E-4</v>
      </c>
      <c r="K290" s="14">
        <f t="shared" si="119"/>
        <v>135.18</v>
      </c>
      <c r="L290" s="14">
        <f t="shared" si="120"/>
        <v>14.856282</v>
      </c>
      <c r="M290" s="14">
        <f t="shared" si="121"/>
        <v>150.036282</v>
      </c>
      <c r="N290" s="193">
        <f t="shared" si="122"/>
        <v>285.06893579999996</v>
      </c>
    </row>
    <row r="291" spans="1:14" ht="14.25" customHeight="1" x14ac:dyDescent="0.25">
      <c r="A291" s="91" t="s">
        <v>542</v>
      </c>
      <c r="B291" s="8"/>
      <c r="C291" s="8"/>
      <c r="D291" s="8" t="s">
        <v>543</v>
      </c>
      <c r="E291" s="8"/>
      <c r="F291" s="9"/>
      <c r="G291" s="8"/>
      <c r="H291" s="8"/>
      <c r="I291" s="10">
        <v>44179.91</v>
      </c>
      <c r="J291" s="27">
        <v>3.1534553890078518E-2</v>
      </c>
      <c r="K291" s="8"/>
      <c r="L291" s="8"/>
      <c r="M291" s="8"/>
      <c r="N291" s="198">
        <f>SUM(N292:N298)</f>
        <v>49035.303974029994</v>
      </c>
    </row>
    <row r="292" spans="1:14" ht="14.25" customHeight="1" x14ac:dyDescent="0.25">
      <c r="A292" s="92" t="s">
        <v>864</v>
      </c>
      <c r="B292" s="12" t="s">
        <v>544</v>
      </c>
      <c r="C292" s="11" t="s">
        <v>29</v>
      </c>
      <c r="D292" s="11" t="s">
        <v>545</v>
      </c>
      <c r="E292" s="13" t="s">
        <v>31</v>
      </c>
      <c r="F292" s="12">
        <v>1</v>
      </c>
      <c r="G292" s="14">
        <v>2835.72</v>
      </c>
      <c r="H292" s="14">
        <v>3472.9</v>
      </c>
      <c r="I292" s="14">
        <v>3472.9</v>
      </c>
      <c r="J292" s="28">
        <v>2.4788722341184868E-3</v>
      </c>
      <c r="K292" s="14">
        <f t="shared" ref="K292:K298" si="123">H292</f>
        <v>3472.9</v>
      </c>
      <c r="L292" s="14">
        <f t="shared" ref="L292:L298" si="124">K292*10.99%</f>
        <v>381.67171000000002</v>
      </c>
      <c r="M292" s="14">
        <f t="shared" ref="M292:M298" si="125">K292+L292</f>
        <v>3854.5717100000002</v>
      </c>
      <c r="N292" s="193">
        <f t="shared" ref="N292:N298" si="126">F292*M292</f>
        <v>3854.5717100000002</v>
      </c>
    </row>
    <row r="293" spans="1:14" ht="14.25" customHeight="1" x14ac:dyDescent="0.25">
      <c r="A293" s="92" t="s">
        <v>865</v>
      </c>
      <c r="B293" s="12" t="s">
        <v>546</v>
      </c>
      <c r="C293" s="11" t="s">
        <v>29</v>
      </c>
      <c r="D293" s="11" t="s">
        <v>547</v>
      </c>
      <c r="E293" s="13" t="s">
        <v>116</v>
      </c>
      <c r="F293" s="12">
        <v>14</v>
      </c>
      <c r="G293" s="14">
        <v>300.27</v>
      </c>
      <c r="H293" s="14">
        <v>367.74</v>
      </c>
      <c r="I293" s="14">
        <v>5148.3599999999997</v>
      </c>
      <c r="J293" s="28">
        <v>3.6747751605995718E-3</v>
      </c>
      <c r="K293" s="14">
        <f t="shared" si="123"/>
        <v>367.74</v>
      </c>
      <c r="L293" s="14">
        <f t="shared" si="124"/>
        <v>40.414625999999998</v>
      </c>
      <c r="M293" s="14">
        <f t="shared" si="125"/>
        <v>408.15462600000001</v>
      </c>
      <c r="N293" s="193">
        <f t="shared" si="126"/>
        <v>5714.1647640000001</v>
      </c>
    </row>
    <row r="294" spans="1:14" ht="14.25" customHeight="1" x14ac:dyDescent="0.25">
      <c r="A294" s="92" t="s">
        <v>866</v>
      </c>
      <c r="B294" s="12" t="s">
        <v>548</v>
      </c>
      <c r="C294" s="11" t="s">
        <v>26</v>
      </c>
      <c r="D294" s="11" t="s">
        <v>549</v>
      </c>
      <c r="E294" s="13" t="s">
        <v>24</v>
      </c>
      <c r="F294" s="12">
        <v>90.96</v>
      </c>
      <c r="G294" s="14">
        <v>11.41</v>
      </c>
      <c r="H294" s="14">
        <v>13.97</v>
      </c>
      <c r="I294" s="14">
        <v>1270.71</v>
      </c>
      <c r="J294" s="28">
        <v>9.0700214132762318E-4</v>
      </c>
      <c r="K294" s="14">
        <f t="shared" si="123"/>
        <v>13.97</v>
      </c>
      <c r="L294" s="14">
        <f t="shared" si="124"/>
        <v>1.5353030000000001</v>
      </c>
      <c r="M294" s="14">
        <f t="shared" si="125"/>
        <v>15.505303000000001</v>
      </c>
      <c r="N294" s="193">
        <f t="shared" si="126"/>
        <v>1410.3623608800001</v>
      </c>
    </row>
    <row r="295" spans="1:14" ht="14.25" customHeight="1" x14ac:dyDescent="0.25">
      <c r="A295" s="92" t="s">
        <v>867</v>
      </c>
      <c r="B295" s="12" t="s">
        <v>550</v>
      </c>
      <c r="C295" s="11" t="s">
        <v>29</v>
      </c>
      <c r="D295" s="11" t="s">
        <v>551</v>
      </c>
      <c r="E295" s="13" t="s">
        <v>116</v>
      </c>
      <c r="F295" s="12">
        <v>143.19999999999999</v>
      </c>
      <c r="G295" s="14">
        <v>102.61</v>
      </c>
      <c r="H295" s="14">
        <v>125.66</v>
      </c>
      <c r="I295" s="14">
        <v>17994.509999999998</v>
      </c>
      <c r="J295" s="28">
        <v>1.284404710920771E-2</v>
      </c>
      <c r="K295" s="14">
        <f t="shared" si="123"/>
        <v>125.66</v>
      </c>
      <c r="L295" s="14">
        <f t="shared" si="124"/>
        <v>13.810034</v>
      </c>
      <c r="M295" s="14">
        <f t="shared" si="125"/>
        <v>139.470034</v>
      </c>
      <c r="N295" s="193">
        <f t="shared" si="126"/>
        <v>19972.108868799998</v>
      </c>
    </row>
    <row r="296" spans="1:14" ht="39" customHeight="1" x14ac:dyDescent="0.25">
      <c r="A296" s="92" t="s">
        <v>868</v>
      </c>
      <c r="B296" s="12" t="s">
        <v>384</v>
      </c>
      <c r="C296" s="11" t="s">
        <v>26</v>
      </c>
      <c r="D296" s="11" t="s">
        <v>385</v>
      </c>
      <c r="E296" s="13" t="s">
        <v>24</v>
      </c>
      <c r="F296" s="12">
        <v>5.27</v>
      </c>
      <c r="G296" s="14">
        <v>667.29</v>
      </c>
      <c r="H296" s="14">
        <v>817.23</v>
      </c>
      <c r="I296" s="14">
        <v>4306.8</v>
      </c>
      <c r="J296" s="28">
        <v>3.0740899357601715E-3</v>
      </c>
      <c r="K296" s="14">
        <f t="shared" si="123"/>
        <v>817.23</v>
      </c>
      <c r="L296" s="14">
        <f t="shared" si="124"/>
        <v>89.813576999999995</v>
      </c>
      <c r="M296" s="14">
        <f t="shared" si="125"/>
        <v>907.04357700000003</v>
      </c>
      <c r="N296" s="193">
        <f t="shared" si="126"/>
        <v>4780.1196507899995</v>
      </c>
    </row>
    <row r="297" spans="1:14" ht="25.5" customHeight="1" x14ac:dyDescent="0.25">
      <c r="A297" s="92" t="s">
        <v>869</v>
      </c>
      <c r="B297" s="12" t="s">
        <v>552</v>
      </c>
      <c r="C297" s="11" t="s">
        <v>22</v>
      </c>
      <c r="D297" s="11" t="s">
        <v>553</v>
      </c>
      <c r="E297" s="13" t="s">
        <v>24</v>
      </c>
      <c r="F297" s="12">
        <v>4.9000000000000004</v>
      </c>
      <c r="G297" s="14">
        <v>549.16</v>
      </c>
      <c r="H297" s="14">
        <v>672.55</v>
      </c>
      <c r="I297" s="14">
        <v>3295.49</v>
      </c>
      <c r="J297" s="28">
        <v>2.3522412562455388E-3</v>
      </c>
      <c r="K297" s="14">
        <f t="shared" si="123"/>
        <v>672.55</v>
      </c>
      <c r="L297" s="14">
        <f t="shared" si="124"/>
        <v>73.913244999999989</v>
      </c>
      <c r="M297" s="14">
        <f t="shared" si="125"/>
        <v>746.46324499999992</v>
      </c>
      <c r="N297" s="193">
        <f t="shared" si="126"/>
        <v>3657.6699005</v>
      </c>
    </row>
    <row r="298" spans="1:14" ht="14.25" customHeight="1" x14ac:dyDescent="0.25">
      <c r="A298" s="92" t="s">
        <v>870</v>
      </c>
      <c r="B298" s="12" t="s">
        <v>554</v>
      </c>
      <c r="C298" s="11" t="s">
        <v>22</v>
      </c>
      <c r="D298" s="11" t="s">
        <v>555</v>
      </c>
      <c r="E298" s="13" t="s">
        <v>24</v>
      </c>
      <c r="F298" s="12">
        <v>5.43</v>
      </c>
      <c r="G298" s="14">
        <v>1306.92</v>
      </c>
      <c r="H298" s="14">
        <v>1600.58</v>
      </c>
      <c r="I298" s="14">
        <v>8691.14</v>
      </c>
      <c r="J298" s="28">
        <v>6.2035260528194146E-3</v>
      </c>
      <c r="K298" s="14">
        <f t="shared" si="123"/>
        <v>1600.58</v>
      </c>
      <c r="L298" s="14">
        <f t="shared" si="124"/>
        <v>175.90374199999999</v>
      </c>
      <c r="M298" s="14">
        <f t="shared" si="125"/>
        <v>1776.4837419999999</v>
      </c>
      <c r="N298" s="193">
        <f t="shared" si="126"/>
        <v>9646.3067190599995</v>
      </c>
    </row>
    <row r="299" spans="1:14" ht="14.25" customHeight="1" x14ac:dyDescent="0.25">
      <c r="A299" s="91" t="s">
        <v>556</v>
      </c>
      <c r="B299" s="8"/>
      <c r="C299" s="8"/>
      <c r="D299" s="8" t="s">
        <v>557</v>
      </c>
      <c r="E299" s="8"/>
      <c r="F299" s="9"/>
      <c r="G299" s="8"/>
      <c r="H299" s="8"/>
      <c r="I299" s="10">
        <v>3754.85</v>
      </c>
      <c r="J299" s="27">
        <v>2.6801213418986437E-3</v>
      </c>
      <c r="K299" s="8"/>
      <c r="L299" s="8"/>
      <c r="M299" s="8"/>
      <c r="N299" s="198">
        <f>SUM(N300:N301)</f>
        <v>4167.5097908400003</v>
      </c>
    </row>
    <row r="300" spans="1:14" ht="25.5" customHeight="1" x14ac:dyDescent="0.25">
      <c r="A300" s="92" t="s">
        <v>871</v>
      </c>
      <c r="B300" s="12" t="s">
        <v>558</v>
      </c>
      <c r="C300" s="11" t="s">
        <v>26</v>
      </c>
      <c r="D300" s="11" t="s">
        <v>559</v>
      </c>
      <c r="E300" s="13" t="s">
        <v>24</v>
      </c>
      <c r="F300" s="12">
        <v>1129.6400000000001</v>
      </c>
      <c r="G300" s="14">
        <v>1.38</v>
      </c>
      <c r="H300" s="14">
        <v>1.69</v>
      </c>
      <c r="I300" s="14">
        <v>1909.09</v>
      </c>
      <c r="J300" s="28">
        <v>1.3626623840114205E-3</v>
      </c>
      <c r="K300" s="14">
        <f t="shared" ref="K300:K301" si="127">H300</f>
        <v>1.69</v>
      </c>
      <c r="L300" s="14">
        <f t="shared" ref="L300:L301" si="128">K300*10.99%</f>
        <v>0.18573099999999998</v>
      </c>
      <c r="M300" s="14">
        <f t="shared" ref="M300:M301" si="129">K300+L300</f>
        <v>1.875731</v>
      </c>
      <c r="N300" s="193">
        <f t="shared" ref="N300:N301" si="130">F300*M300</f>
        <v>2118.9007668400004</v>
      </c>
    </row>
    <row r="301" spans="1:14" ht="14.25" customHeight="1" x14ac:dyDescent="0.25">
      <c r="A301" s="92" t="s">
        <v>872</v>
      </c>
      <c r="B301" s="12" t="s">
        <v>560</v>
      </c>
      <c r="C301" s="11" t="s">
        <v>22</v>
      </c>
      <c r="D301" s="11" t="s">
        <v>561</v>
      </c>
      <c r="E301" s="13" t="s">
        <v>365</v>
      </c>
      <c r="F301" s="12">
        <v>1</v>
      </c>
      <c r="G301" s="14">
        <v>1507.12</v>
      </c>
      <c r="H301" s="14">
        <v>1845.76</v>
      </c>
      <c r="I301" s="14">
        <v>1845.76</v>
      </c>
      <c r="J301" s="28">
        <v>1.3174589578872234E-3</v>
      </c>
      <c r="K301" s="14">
        <f t="shared" si="127"/>
        <v>1845.76</v>
      </c>
      <c r="L301" s="14">
        <f t="shared" si="128"/>
        <v>202.84902399999999</v>
      </c>
      <c r="M301" s="14">
        <f t="shared" si="129"/>
        <v>2048.6090239999999</v>
      </c>
      <c r="N301" s="193">
        <f t="shared" si="130"/>
        <v>2048.6090239999999</v>
      </c>
    </row>
    <row r="302" spans="1:14" ht="24" customHeight="1" x14ac:dyDescent="0.25">
      <c r="A302" s="93"/>
      <c r="B302" s="15"/>
      <c r="C302" s="15"/>
      <c r="D302" s="15"/>
      <c r="E302" s="15"/>
      <c r="F302" s="3" t="s">
        <v>562</v>
      </c>
      <c r="G302" s="3"/>
      <c r="H302" s="59"/>
      <c r="I302" s="59">
        <v>1144136.95</v>
      </c>
      <c r="J302" s="59"/>
      <c r="K302" s="187"/>
      <c r="L302" s="187"/>
      <c r="M302" s="187"/>
      <c r="N302" s="194"/>
    </row>
    <row r="303" spans="1:14" ht="14.25" customHeight="1" x14ac:dyDescent="0.25">
      <c r="A303" s="576"/>
      <c r="B303" s="577"/>
      <c r="C303" s="578"/>
      <c r="D303" s="16"/>
      <c r="E303" s="17"/>
      <c r="F303" s="3" t="s">
        <v>563</v>
      </c>
      <c r="G303" s="3"/>
      <c r="H303" s="58"/>
      <c r="I303" s="58">
        <v>256863.05</v>
      </c>
      <c r="J303" s="187"/>
      <c r="K303" s="187"/>
      <c r="L303" s="579"/>
      <c r="M303" s="579"/>
      <c r="N303" s="194"/>
    </row>
    <row r="304" spans="1:14" ht="14.25" customHeight="1" x14ac:dyDescent="0.25">
      <c r="A304" s="576"/>
      <c r="B304" s="577"/>
      <c r="C304" s="578"/>
      <c r="D304" s="16"/>
      <c r="E304" s="17"/>
      <c r="F304" s="390" t="s">
        <v>564</v>
      </c>
      <c r="G304" s="389"/>
      <c r="H304" s="58"/>
      <c r="I304" s="58">
        <v>1401000</v>
      </c>
      <c r="J304" s="201"/>
      <c r="K304" s="201"/>
      <c r="L304" s="579" t="s">
        <v>962</v>
      </c>
      <c r="M304" s="579"/>
      <c r="N304" s="203">
        <f>SUM(N6:N301)/2</f>
        <v>1554970.46627098</v>
      </c>
    </row>
    <row r="305" spans="1:14" ht="14.25" customHeight="1" x14ac:dyDescent="0.25">
      <c r="A305" s="202"/>
      <c r="B305" s="201"/>
      <c r="C305" s="201"/>
      <c r="D305" s="200"/>
      <c r="E305" s="188"/>
      <c r="F305" s="183"/>
      <c r="G305" s="4"/>
      <c r="H305" s="187"/>
      <c r="I305" s="187"/>
      <c r="J305" s="201"/>
      <c r="K305" s="201"/>
      <c r="L305" s="199"/>
      <c r="M305" s="199"/>
      <c r="N305" s="204"/>
    </row>
    <row r="306" spans="1:14" ht="14.25" customHeight="1" x14ac:dyDescent="0.25">
      <c r="A306" s="576"/>
      <c r="B306" s="577"/>
      <c r="C306" s="578"/>
      <c r="D306" s="580" t="s">
        <v>961</v>
      </c>
      <c r="E306" s="580"/>
      <c r="F306" s="580"/>
      <c r="G306" s="580"/>
      <c r="H306" s="580"/>
      <c r="I306" s="580"/>
      <c r="J306" s="580"/>
      <c r="K306" s="580"/>
      <c r="L306" s="580"/>
      <c r="M306" s="580"/>
      <c r="N306" s="205">
        <f>I304*10.99%</f>
        <v>153969.9</v>
      </c>
    </row>
    <row r="307" spans="1:14" ht="60" customHeight="1" x14ac:dyDescent="0.25">
      <c r="A307" s="94"/>
      <c r="B307" s="18"/>
      <c r="C307" s="18"/>
      <c r="D307" s="18"/>
      <c r="E307" s="18"/>
      <c r="F307" s="18"/>
      <c r="G307" s="18"/>
      <c r="H307" s="18"/>
      <c r="I307" s="18"/>
      <c r="J307" s="18"/>
      <c r="K307" s="21"/>
      <c r="L307" s="21"/>
      <c r="M307" s="21"/>
      <c r="N307" s="199"/>
    </row>
    <row r="308" spans="1:14" ht="69.75" customHeight="1" x14ac:dyDescent="0.25">
      <c r="A308" s="397"/>
      <c r="B308" s="394"/>
      <c r="C308" s="394"/>
      <c r="D308" s="394"/>
      <c r="E308" s="394"/>
      <c r="F308" s="394"/>
      <c r="G308" s="394"/>
      <c r="H308" s="394"/>
      <c r="I308" s="394"/>
      <c r="J308" s="389"/>
      <c r="K308" s="4"/>
      <c r="L308" s="4"/>
      <c r="M308" s="4"/>
      <c r="N308" s="4"/>
    </row>
    <row r="309" spans="1:14" ht="14.25" customHeight="1" x14ac:dyDescent="0.25"/>
    <row r="310" spans="1:14" ht="14.25" customHeight="1" x14ac:dyDescent="0.25"/>
    <row r="311" spans="1:14" ht="14.25" customHeight="1" x14ac:dyDescent="0.25"/>
    <row r="312" spans="1:14" ht="14.25" customHeight="1" x14ac:dyDescent="0.25"/>
    <row r="313" spans="1:14" ht="14.25" customHeight="1" x14ac:dyDescent="0.25"/>
    <row r="314" spans="1:14" ht="14.25" customHeight="1" x14ac:dyDescent="0.25"/>
    <row r="315" spans="1:14" ht="14.25" customHeight="1" x14ac:dyDescent="0.25"/>
    <row r="316" spans="1:14" ht="14.25" customHeight="1" x14ac:dyDescent="0.25"/>
    <row r="317" spans="1:14" ht="14.25" customHeight="1" x14ac:dyDescent="0.25"/>
    <row r="318" spans="1:14" ht="14.25" customHeight="1" x14ac:dyDescent="0.25"/>
    <row r="319" spans="1:14" ht="14.25" customHeight="1" x14ac:dyDescent="0.25"/>
    <row r="320" spans="1:14" ht="14.25" customHeight="1" x14ac:dyDescent="0.25"/>
    <row r="321" spans="2:14" ht="14.25" customHeight="1" x14ac:dyDescent="0.25"/>
    <row r="322" spans="2:14" s="95" customFormat="1" ht="14.25" customHeight="1" x14ac:dyDescent="0.25">
      <c r="B322"/>
      <c r="C322"/>
      <c r="D322"/>
      <c r="E322"/>
      <c r="F322"/>
      <c r="G322"/>
      <c r="H322"/>
      <c r="I322"/>
      <c r="J322"/>
      <c r="K322"/>
      <c r="L322"/>
      <c r="M322"/>
      <c r="N322"/>
    </row>
    <row r="323" spans="2:14" s="95" customFormat="1" ht="14.25" customHeight="1" x14ac:dyDescent="0.25">
      <c r="B323"/>
      <c r="C323"/>
      <c r="D323"/>
      <c r="E323"/>
      <c r="F323"/>
      <c r="G323"/>
      <c r="H323"/>
      <c r="I323"/>
      <c r="J323"/>
      <c r="K323"/>
      <c r="L323"/>
      <c r="M323"/>
      <c r="N323"/>
    </row>
    <row r="324" spans="2:14" s="95" customFormat="1" ht="14.25" customHeight="1" x14ac:dyDescent="0.25">
      <c r="B324"/>
      <c r="C324"/>
      <c r="D324"/>
      <c r="E324"/>
      <c r="F324"/>
      <c r="G324"/>
      <c r="H324"/>
      <c r="I324"/>
      <c r="J324"/>
      <c r="K324"/>
      <c r="L324"/>
      <c r="M324"/>
      <c r="N324"/>
    </row>
    <row r="325" spans="2:14" s="95" customFormat="1" ht="14.25" customHeight="1" x14ac:dyDescent="0.25">
      <c r="B325"/>
      <c r="C325"/>
      <c r="D325"/>
      <c r="E325"/>
      <c r="F325"/>
      <c r="G325"/>
      <c r="H325"/>
      <c r="I325"/>
      <c r="J325"/>
      <c r="K325"/>
      <c r="L325"/>
      <c r="M325"/>
      <c r="N325"/>
    </row>
    <row r="326" spans="2:14" s="95" customFormat="1" ht="14.25" customHeight="1" x14ac:dyDescent="0.25">
      <c r="B326"/>
      <c r="C326"/>
      <c r="D326"/>
      <c r="E326"/>
      <c r="F326"/>
      <c r="G326"/>
      <c r="H326"/>
      <c r="I326"/>
      <c r="J326"/>
      <c r="K326"/>
      <c r="L326"/>
      <c r="M326"/>
      <c r="N326"/>
    </row>
    <row r="327" spans="2:14" s="95" customFormat="1" ht="14.25" customHeight="1" x14ac:dyDescent="0.25">
      <c r="B327"/>
      <c r="C327"/>
      <c r="D327"/>
      <c r="E327"/>
      <c r="F327"/>
      <c r="G327"/>
      <c r="H327"/>
      <c r="I327"/>
      <c r="J327"/>
      <c r="K327"/>
      <c r="L327"/>
      <c r="M327"/>
      <c r="N327"/>
    </row>
    <row r="328" spans="2:14" s="95" customFormat="1" ht="14.25" customHeight="1" x14ac:dyDescent="0.25">
      <c r="B328"/>
      <c r="C328"/>
      <c r="D328"/>
      <c r="E328"/>
      <c r="F328"/>
      <c r="G328"/>
      <c r="H328"/>
      <c r="I328"/>
      <c r="J328"/>
      <c r="K328"/>
      <c r="L328"/>
      <c r="M328"/>
      <c r="N328"/>
    </row>
    <row r="329" spans="2:14" s="95" customFormat="1" ht="14.25" customHeight="1" x14ac:dyDescent="0.25">
      <c r="B329"/>
      <c r="C329"/>
      <c r="D329"/>
      <c r="E329"/>
      <c r="F329"/>
      <c r="G329"/>
      <c r="H329"/>
      <c r="I329"/>
      <c r="J329"/>
      <c r="K329"/>
      <c r="L329"/>
      <c r="M329"/>
      <c r="N329"/>
    </row>
    <row r="330" spans="2:14" s="95" customFormat="1" ht="14.25" customHeight="1" x14ac:dyDescent="0.25">
      <c r="B330"/>
      <c r="C330"/>
      <c r="D330"/>
      <c r="E330"/>
      <c r="F330"/>
      <c r="G330"/>
      <c r="H330"/>
      <c r="I330"/>
      <c r="J330"/>
      <c r="K330"/>
      <c r="L330"/>
      <c r="M330"/>
      <c r="N330"/>
    </row>
    <row r="331" spans="2:14" s="95" customFormat="1" ht="14.25" customHeight="1" x14ac:dyDescent="0.25">
      <c r="B331"/>
      <c r="C331"/>
      <c r="D331"/>
      <c r="E331"/>
      <c r="F331"/>
      <c r="G331"/>
      <c r="H331"/>
      <c r="I331"/>
      <c r="J331"/>
      <c r="K331"/>
      <c r="L331"/>
      <c r="M331"/>
      <c r="N331"/>
    </row>
    <row r="332" spans="2:14" s="95" customFormat="1" ht="14.25" customHeight="1" x14ac:dyDescent="0.25">
      <c r="B332"/>
      <c r="C332"/>
      <c r="D332"/>
      <c r="E332"/>
      <c r="F332"/>
      <c r="G332"/>
      <c r="H332"/>
      <c r="I332"/>
      <c r="J332"/>
      <c r="K332"/>
      <c r="L332"/>
      <c r="M332"/>
      <c r="N332"/>
    </row>
    <row r="333" spans="2:14" s="95" customFormat="1" ht="14.25" customHeight="1" x14ac:dyDescent="0.25">
      <c r="B333"/>
      <c r="C333"/>
      <c r="D333"/>
      <c r="E333"/>
      <c r="F333"/>
      <c r="G333"/>
      <c r="H333"/>
      <c r="I333"/>
      <c r="J333"/>
      <c r="K333"/>
      <c r="L333"/>
      <c r="M333"/>
      <c r="N333"/>
    </row>
    <row r="334" spans="2:14" s="95" customFormat="1" ht="14.25" customHeight="1" x14ac:dyDescent="0.25">
      <c r="B334"/>
      <c r="C334"/>
      <c r="D334"/>
      <c r="E334"/>
      <c r="F334"/>
      <c r="G334"/>
      <c r="H334"/>
      <c r="I334"/>
      <c r="J334"/>
      <c r="K334"/>
      <c r="L334"/>
      <c r="M334"/>
      <c r="N334"/>
    </row>
    <row r="335" spans="2:14" s="95" customFormat="1" ht="14.25" customHeight="1" x14ac:dyDescent="0.25">
      <c r="B335"/>
      <c r="C335"/>
      <c r="D335"/>
      <c r="E335"/>
      <c r="F335"/>
      <c r="G335"/>
      <c r="H335"/>
      <c r="I335"/>
      <c r="J335"/>
      <c r="K335"/>
      <c r="L335"/>
      <c r="M335"/>
      <c r="N335"/>
    </row>
    <row r="336" spans="2:14" s="95" customFormat="1" ht="14.25" customHeight="1" x14ac:dyDescent="0.25">
      <c r="B336"/>
      <c r="C336"/>
      <c r="D336"/>
      <c r="E336"/>
      <c r="F336"/>
      <c r="G336"/>
      <c r="H336"/>
      <c r="I336"/>
      <c r="J336"/>
      <c r="K336"/>
      <c r="L336"/>
      <c r="M336"/>
      <c r="N336"/>
    </row>
    <row r="337" spans="2:14" s="95" customFormat="1" ht="14.25" customHeight="1" x14ac:dyDescent="0.25">
      <c r="B337"/>
      <c r="C337"/>
      <c r="D337"/>
      <c r="E337"/>
      <c r="F337"/>
      <c r="G337"/>
      <c r="H337"/>
      <c r="I337"/>
      <c r="J337"/>
      <c r="K337"/>
      <c r="L337"/>
      <c r="M337"/>
      <c r="N337"/>
    </row>
    <row r="338" spans="2:14" s="95" customFormat="1" ht="14.25" customHeight="1" x14ac:dyDescent="0.25">
      <c r="B338"/>
      <c r="C338"/>
      <c r="D338"/>
      <c r="E338"/>
      <c r="F338"/>
      <c r="G338"/>
      <c r="H338"/>
      <c r="I338"/>
      <c r="J338"/>
      <c r="K338"/>
      <c r="L338"/>
      <c r="M338"/>
      <c r="N338"/>
    </row>
    <row r="339" spans="2:14" s="95" customFormat="1" ht="14.25" customHeight="1" x14ac:dyDescent="0.25">
      <c r="B339"/>
      <c r="C339"/>
      <c r="D339"/>
      <c r="E339"/>
      <c r="F339"/>
      <c r="G339"/>
      <c r="H339"/>
      <c r="I339"/>
      <c r="J339"/>
      <c r="K339"/>
      <c r="L339"/>
      <c r="M339"/>
      <c r="N339"/>
    </row>
    <row r="340" spans="2:14" s="95" customFormat="1" ht="14.25" customHeight="1" x14ac:dyDescent="0.25">
      <c r="B340"/>
      <c r="C340"/>
      <c r="D340"/>
      <c r="E340"/>
      <c r="F340"/>
      <c r="G340"/>
      <c r="H340"/>
      <c r="I340"/>
      <c r="J340"/>
      <c r="K340"/>
      <c r="L340"/>
      <c r="M340"/>
      <c r="N340"/>
    </row>
    <row r="341" spans="2:14" s="95" customFormat="1" ht="14.25" customHeight="1" x14ac:dyDescent="0.25">
      <c r="B341"/>
      <c r="C341"/>
      <c r="D341"/>
      <c r="E341"/>
      <c r="F341"/>
      <c r="G341"/>
      <c r="H341"/>
      <c r="I341"/>
      <c r="J341"/>
      <c r="K341"/>
      <c r="L341"/>
      <c r="M341"/>
      <c r="N341"/>
    </row>
    <row r="342" spans="2:14" s="95" customFormat="1" ht="14.25" customHeight="1" x14ac:dyDescent="0.25">
      <c r="B342"/>
      <c r="C342"/>
      <c r="D342"/>
      <c r="E342"/>
      <c r="F342"/>
      <c r="G342"/>
      <c r="H342"/>
      <c r="I342"/>
      <c r="J342"/>
      <c r="K342"/>
      <c r="L342"/>
      <c r="M342"/>
      <c r="N342"/>
    </row>
    <row r="343" spans="2:14" s="95" customFormat="1" ht="14.25" customHeight="1" x14ac:dyDescent="0.25">
      <c r="B343"/>
      <c r="C343"/>
      <c r="D343"/>
      <c r="E343"/>
      <c r="F343"/>
      <c r="G343"/>
      <c r="H343"/>
      <c r="I343"/>
      <c r="J343"/>
      <c r="K343"/>
      <c r="L343"/>
      <c r="M343"/>
      <c r="N343"/>
    </row>
    <row r="344" spans="2:14" s="95" customFormat="1" ht="14.25" customHeight="1" x14ac:dyDescent="0.25">
      <c r="B344"/>
      <c r="C344"/>
      <c r="D344"/>
      <c r="E344"/>
      <c r="F344"/>
      <c r="G344"/>
      <c r="H344"/>
      <c r="I344"/>
      <c r="J344"/>
      <c r="K344"/>
      <c r="L344"/>
      <c r="M344"/>
      <c r="N344"/>
    </row>
    <row r="345" spans="2:14" s="95" customFormat="1" ht="14.25" customHeight="1" x14ac:dyDescent="0.25">
      <c r="B345"/>
      <c r="C345"/>
      <c r="D345"/>
      <c r="E345"/>
      <c r="F345"/>
      <c r="G345"/>
      <c r="H345"/>
      <c r="I345"/>
      <c r="J345"/>
      <c r="K345"/>
      <c r="L345"/>
      <c r="M345"/>
      <c r="N345"/>
    </row>
    <row r="346" spans="2:14" s="95" customFormat="1" ht="14.25" customHeight="1" x14ac:dyDescent="0.25">
      <c r="B346"/>
      <c r="C346"/>
      <c r="D346"/>
      <c r="E346"/>
      <c r="F346"/>
      <c r="G346"/>
      <c r="H346"/>
      <c r="I346"/>
      <c r="J346"/>
      <c r="K346"/>
      <c r="L346"/>
      <c r="M346"/>
      <c r="N346"/>
    </row>
    <row r="347" spans="2:14" s="95" customFormat="1" ht="14.25" customHeight="1" x14ac:dyDescent="0.25">
      <c r="B347"/>
      <c r="C347"/>
      <c r="D347"/>
      <c r="E347"/>
      <c r="F347"/>
      <c r="G347"/>
      <c r="H347"/>
      <c r="I347"/>
      <c r="J347"/>
      <c r="K347"/>
      <c r="L347"/>
      <c r="M347"/>
      <c r="N347"/>
    </row>
    <row r="348" spans="2:14" s="95" customFormat="1" ht="14.25" customHeight="1" x14ac:dyDescent="0.25">
      <c r="B348"/>
      <c r="C348"/>
      <c r="D348"/>
      <c r="E348"/>
      <c r="F348"/>
      <c r="G348"/>
      <c r="H348"/>
      <c r="I348"/>
      <c r="J348"/>
      <c r="K348"/>
      <c r="L348"/>
      <c r="M348"/>
      <c r="N348"/>
    </row>
    <row r="349" spans="2:14" s="95" customFormat="1" ht="14.25" customHeight="1" x14ac:dyDescent="0.25">
      <c r="B349"/>
      <c r="C349"/>
      <c r="D349"/>
      <c r="E349"/>
      <c r="F349"/>
      <c r="G349"/>
      <c r="H349"/>
      <c r="I349"/>
      <c r="J349"/>
      <c r="K349"/>
      <c r="L349"/>
      <c r="M349"/>
      <c r="N349"/>
    </row>
    <row r="350" spans="2:14" s="95" customFormat="1" ht="14.25" customHeight="1" x14ac:dyDescent="0.25">
      <c r="B350"/>
      <c r="C350"/>
      <c r="D350"/>
      <c r="E350"/>
      <c r="F350"/>
      <c r="G350"/>
      <c r="H350"/>
      <c r="I350"/>
      <c r="J350"/>
      <c r="K350"/>
      <c r="L350"/>
      <c r="M350"/>
      <c r="N350"/>
    </row>
    <row r="351" spans="2:14" s="95" customFormat="1" ht="14.25" customHeight="1" x14ac:dyDescent="0.25">
      <c r="B351"/>
      <c r="C351"/>
      <c r="D351"/>
      <c r="E351"/>
      <c r="F351"/>
      <c r="G351"/>
      <c r="H351"/>
      <c r="I351"/>
      <c r="J351"/>
      <c r="K351"/>
      <c r="L351"/>
      <c r="M351"/>
      <c r="N351"/>
    </row>
    <row r="352" spans="2:14" s="95" customFormat="1" ht="14.25" customHeight="1" x14ac:dyDescent="0.25">
      <c r="B352"/>
      <c r="C352"/>
      <c r="D352"/>
      <c r="E352"/>
      <c r="F352"/>
      <c r="G352"/>
      <c r="H352"/>
      <c r="I352"/>
      <c r="J352"/>
      <c r="K352"/>
      <c r="L352"/>
      <c r="M352"/>
      <c r="N352"/>
    </row>
    <row r="353" spans="2:14" s="95" customFormat="1" ht="14.25" customHeight="1" x14ac:dyDescent="0.25">
      <c r="B353"/>
      <c r="C353"/>
      <c r="D353"/>
      <c r="E353"/>
      <c r="F353"/>
      <c r="G353"/>
      <c r="H353"/>
      <c r="I353"/>
      <c r="J353"/>
      <c r="K353"/>
      <c r="L353"/>
      <c r="M353"/>
      <c r="N353"/>
    </row>
    <row r="354" spans="2:14" s="95" customFormat="1" ht="14.25" customHeight="1" x14ac:dyDescent="0.25">
      <c r="B354"/>
      <c r="C354"/>
      <c r="D354"/>
      <c r="E354"/>
      <c r="F354"/>
      <c r="G354"/>
      <c r="H354"/>
      <c r="I354"/>
      <c r="J354"/>
      <c r="K354"/>
      <c r="L354"/>
      <c r="M354"/>
      <c r="N354"/>
    </row>
    <row r="355" spans="2:14" s="95" customFormat="1" ht="14.25" customHeight="1" x14ac:dyDescent="0.25">
      <c r="B355"/>
      <c r="C355"/>
      <c r="D355"/>
      <c r="E355"/>
      <c r="F355"/>
      <c r="G355"/>
      <c r="H355"/>
      <c r="I355"/>
      <c r="J355"/>
      <c r="K355"/>
      <c r="L355"/>
      <c r="M355"/>
      <c r="N355"/>
    </row>
    <row r="356" spans="2:14" s="95" customFormat="1" ht="14.25" customHeight="1" x14ac:dyDescent="0.25">
      <c r="B356"/>
      <c r="C356"/>
      <c r="D356"/>
      <c r="E356"/>
      <c r="F356"/>
      <c r="G356"/>
      <c r="H356"/>
      <c r="I356"/>
      <c r="J356"/>
      <c r="K356"/>
      <c r="L356"/>
      <c r="M356"/>
      <c r="N356"/>
    </row>
    <row r="357" spans="2:14" s="95" customFormat="1" ht="14.25" customHeight="1" x14ac:dyDescent="0.25">
      <c r="B357"/>
      <c r="C357"/>
      <c r="D357"/>
      <c r="E357"/>
      <c r="F357"/>
      <c r="G357"/>
      <c r="H357"/>
      <c r="I357"/>
      <c r="J357"/>
      <c r="K357"/>
      <c r="L357"/>
      <c r="M357"/>
      <c r="N357"/>
    </row>
    <row r="358" spans="2:14" s="95" customFormat="1" ht="14.25" customHeight="1" x14ac:dyDescent="0.25">
      <c r="B358"/>
      <c r="C358"/>
      <c r="D358"/>
      <c r="E358"/>
      <c r="F358"/>
      <c r="G358"/>
      <c r="H358"/>
      <c r="I358"/>
      <c r="J358"/>
      <c r="K358"/>
      <c r="L358"/>
      <c r="M358"/>
      <c r="N358"/>
    </row>
    <row r="359" spans="2:14" s="95" customFormat="1" ht="14.25" customHeight="1" x14ac:dyDescent="0.25">
      <c r="B359"/>
      <c r="C359"/>
      <c r="D359"/>
      <c r="E359"/>
      <c r="F359"/>
      <c r="G359"/>
      <c r="H359"/>
      <c r="I359"/>
      <c r="J359"/>
      <c r="K359"/>
      <c r="L359"/>
      <c r="M359"/>
      <c r="N359"/>
    </row>
    <row r="360" spans="2:14" s="95" customFormat="1" ht="14.25" customHeight="1" x14ac:dyDescent="0.25">
      <c r="B360"/>
      <c r="C360"/>
      <c r="D360"/>
      <c r="E360"/>
      <c r="F360"/>
      <c r="G360"/>
      <c r="H360"/>
      <c r="I360"/>
      <c r="J360"/>
      <c r="K360"/>
      <c r="L360"/>
      <c r="M360"/>
      <c r="N360"/>
    </row>
    <row r="361" spans="2:14" s="95" customFormat="1" ht="14.25" customHeight="1" x14ac:dyDescent="0.25">
      <c r="B361"/>
      <c r="C361"/>
      <c r="D361"/>
      <c r="E361"/>
      <c r="F361"/>
      <c r="G361"/>
      <c r="H361"/>
      <c r="I361"/>
      <c r="J361"/>
      <c r="K361"/>
      <c r="L361"/>
      <c r="M361"/>
      <c r="N361"/>
    </row>
    <row r="362" spans="2:14" s="95" customFormat="1" ht="14.25" customHeight="1" x14ac:dyDescent="0.25">
      <c r="B362"/>
      <c r="C362"/>
      <c r="D362"/>
      <c r="E362"/>
      <c r="F362"/>
      <c r="G362"/>
      <c r="H362"/>
      <c r="I362"/>
      <c r="J362"/>
      <c r="K362"/>
      <c r="L362"/>
      <c r="M362"/>
      <c r="N362"/>
    </row>
    <row r="363" spans="2:14" s="95" customFormat="1" ht="14.25" customHeight="1" x14ac:dyDescent="0.25">
      <c r="B363"/>
      <c r="C363"/>
      <c r="D363"/>
      <c r="E363"/>
      <c r="F363"/>
      <c r="G363"/>
      <c r="H363"/>
      <c r="I363"/>
      <c r="J363"/>
      <c r="K363"/>
      <c r="L363"/>
      <c r="M363"/>
      <c r="N363"/>
    </row>
    <row r="364" spans="2:14" s="95" customFormat="1" ht="14.25" customHeight="1" x14ac:dyDescent="0.25">
      <c r="B364"/>
      <c r="C364"/>
      <c r="D364"/>
      <c r="E364"/>
      <c r="F364"/>
      <c r="G364"/>
      <c r="H364"/>
      <c r="I364"/>
      <c r="J364"/>
      <c r="K364"/>
      <c r="L364"/>
      <c r="M364"/>
      <c r="N364"/>
    </row>
    <row r="365" spans="2:14" s="95" customFormat="1" ht="14.25" customHeight="1" x14ac:dyDescent="0.25">
      <c r="B365"/>
      <c r="C365"/>
      <c r="D365"/>
      <c r="E365"/>
      <c r="F365"/>
      <c r="G365"/>
      <c r="H365"/>
      <c r="I365"/>
      <c r="J365"/>
      <c r="K365"/>
      <c r="L365"/>
      <c r="M365"/>
      <c r="N365"/>
    </row>
    <row r="366" spans="2:14" s="95" customFormat="1" ht="14.25" customHeight="1" x14ac:dyDescent="0.25">
      <c r="B366"/>
      <c r="C366"/>
      <c r="D366"/>
      <c r="E366"/>
      <c r="F366"/>
      <c r="G366"/>
      <c r="H366"/>
      <c r="I366"/>
      <c r="J366"/>
      <c r="K366"/>
      <c r="L366"/>
      <c r="M366"/>
      <c r="N366"/>
    </row>
    <row r="367" spans="2:14" s="95" customFormat="1" ht="14.25" customHeight="1" x14ac:dyDescent="0.25">
      <c r="B367"/>
      <c r="C367"/>
      <c r="D367"/>
      <c r="E367"/>
      <c r="F367"/>
      <c r="G367"/>
      <c r="H367"/>
      <c r="I367"/>
      <c r="J367"/>
      <c r="K367"/>
      <c r="L367"/>
      <c r="M367"/>
      <c r="N367"/>
    </row>
    <row r="368" spans="2:14" s="95" customFormat="1" ht="14.25" customHeight="1" x14ac:dyDescent="0.25">
      <c r="B368"/>
      <c r="C368"/>
      <c r="D368"/>
      <c r="E368"/>
      <c r="F368"/>
      <c r="G368"/>
      <c r="H368"/>
      <c r="I368"/>
      <c r="J368"/>
      <c r="K368"/>
      <c r="L368"/>
      <c r="M368"/>
      <c r="N368"/>
    </row>
    <row r="369" spans="2:14" s="95" customFormat="1" ht="14.25" customHeight="1" x14ac:dyDescent="0.25">
      <c r="B369"/>
      <c r="C369"/>
      <c r="D369"/>
      <c r="E369"/>
      <c r="F369"/>
      <c r="G369"/>
      <c r="H369"/>
      <c r="I369"/>
      <c r="J369"/>
      <c r="K369"/>
      <c r="L369"/>
      <c r="M369"/>
      <c r="N369"/>
    </row>
    <row r="370" spans="2:14" s="95" customFormat="1" ht="14.25" customHeight="1" x14ac:dyDescent="0.25">
      <c r="B370"/>
      <c r="C370"/>
      <c r="D370"/>
      <c r="E370"/>
      <c r="F370"/>
      <c r="G370"/>
      <c r="H370"/>
      <c r="I370"/>
      <c r="J370"/>
      <c r="K370"/>
      <c r="L370"/>
      <c r="M370"/>
      <c r="N370"/>
    </row>
    <row r="371" spans="2:14" s="95" customFormat="1" ht="14.25" customHeight="1" x14ac:dyDescent="0.25">
      <c r="B371"/>
      <c r="C371"/>
      <c r="D371"/>
      <c r="E371"/>
      <c r="F371"/>
      <c r="G371"/>
      <c r="H371"/>
      <c r="I371"/>
      <c r="J371"/>
      <c r="K371"/>
      <c r="L371"/>
      <c r="M371"/>
      <c r="N371"/>
    </row>
    <row r="372" spans="2:14" s="95" customFormat="1" ht="14.25" customHeight="1" x14ac:dyDescent="0.25">
      <c r="B372"/>
      <c r="C372"/>
      <c r="D372"/>
      <c r="E372"/>
      <c r="F372"/>
      <c r="G372"/>
      <c r="H372"/>
      <c r="I372"/>
      <c r="J372"/>
      <c r="K372"/>
      <c r="L372"/>
      <c r="M372"/>
      <c r="N372"/>
    </row>
    <row r="373" spans="2:14" s="95" customFormat="1" ht="14.25" customHeight="1" x14ac:dyDescent="0.25">
      <c r="B373"/>
      <c r="C373"/>
      <c r="D373"/>
      <c r="E373"/>
      <c r="F373"/>
      <c r="G373"/>
      <c r="H373"/>
      <c r="I373"/>
      <c r="J373"/>
      <c r="K373"/>
      <c r="L373"/>
      <c r="M373"/>
      <c r="N373"/>
    </row>
    <row r="374" spans="2:14" s="95" customFormat="1" ht="14.25" customHeight="1" x14ac:dyDescent="0.25">
      <c r="B374"/>
      <c r="C374"/>
      <c r="D374"/>
      <c r="E374"/>
      <c r="F374"/>
      <c r="G374"/>
      <c r="H374"/>
      <c r="I374"/>
      <c r="J374"/>
      <c r="K374"/>
      <c r="L374"/>
      <c r="M374"/>
      <c r="N374"/>
    </row>
    <row r="375" spans="2:14" s="95" customFormat="1" ht="14.25" customHeight="1" x14ac:dyDescent="0.25">
      <c r="B375"/>
      <c r="C375"/>
      <c r="D375"/>
      <c r="E375"/>
      <c r="F375"/>
      <c r="G375"/>
      <c r="H375"/>
      <c r="I375"/>
      <c r="J375"/>
      <c r="K375"/>
      <c r="L375"/>
      <c r="M375"/>
      <c r="N375"/>
    </row>
    <row r="376" spans="2:14" s="95" customFormat="1" ht="14.25" customHeight="1" x14ac:dyDescent="0.25">
      <c r="B376"/>
      <c r="C376"/>
      <c r="D376"/>
      <c r="E376"/>
      <c r="F376"/>
      <c r="G376"/>
      <c r="H376"/>
      <c r="I376"/>
      <c r="J376"/>
      <c r="K376"/>
      <c r="L376"/>
      <c r="M376"/>
      <c r="N376"/>
    </row>
    <row r="377" spans="2:14" s="95" customFormat="1" ht="14.25" customHeight="1" x14ac:dyDescent="0.25">
      <c r="B377"/>
      <c r="C377"/>
      <c r="D377"/>
      <c r="E377"/>
      <c r="F377"/>
      <c r="G377"/>
      <c r="H377"/>
      <c r="I377"/>
      <c r="J377"/>
      <c r="K377"/>
      <c r="L377"/>
      <c r="M377"/>
      <c r="N377"/>
    </row>
    <row r="378" spans="2:14" s="95" customFormat="1" ht="14.25" customHeight="1" x14ac:dyDescent="0.25">
      <c r="B378"/>
      <c r="C378"/>
      <c r="D378"/>
      <c r="E378"/>
      <c r="F378"/>
      <c r="G378"/>
      <c r="H378"/>
      <c r="I378"/>
      <c r="J378"/>
      <c r="K378"/>
      <c r="L378"/>
      <c r="M378"/>
      <c r="N378"/>
    </row>
    <row r="379" spans="2:14" s="95" customFormat="1" ht="14.25" customHeight="1" x14ac:dyDescent="0.25">
      <c r="B379"/>
      <c r="C379"/>
      <c r="D379"/>
      <c r="E379"/>
      <c r="F379"/>
      <c r="G379"/>
      <c r="H379"/>
      <c r="I379"/>
      <c r="J379"/>
      <c r="K379"/>
      <c r="L379"/>
      <c r="M379"/>
      <c r="N379"/>
    </row>
    <row r="380" spans="2:14" s="95" customFormat="1" ht="14.25" customHeight="1" x14ac:dyDescent="0.25">
      <c r="B380"/>
      <c r="C380"/>
      <c r="D380"/>
      <c r="E380"/>
      <c r="F380"/>
      <c r="G380"/>
      <c r="H380"/>
      <c r="I380"/>
      <c r="J380"/>
      <c r="K380"/>
      <c r="L380"/>
      <c r="M380"/>
      <c r="N380"/>
    </row>
    <row r="381" spans="2:14" s="95" customFormat="1" ht="14.25" customHeight="1" x14ac:dyDescent="0.25">
      <c r="B381"/>
      <c r="C381"/>
      <c r="D381"/>
      <c r="E381"/>
      <c r="F381"/>
      <c r="G381"/>
      <c r="H381"/>
      <c r="I381"/>
      <c r="J381"/>
      <c r="K381"/>
      <c r="L381"/>
      <c r="M381"/>
      <c r="N381"/>
    </row>
    <row r="382" spans="2:14" s="95" customFormat="1" ht="14.25" customHeight="1" x14ac:dyDescent="0.25">
      <c r="B382"/>
      <c r="C382"/>
      <c r="D382"/>
      <c r="E382"/>
      <c r="F382"/>
      <c r="G382"/>
      <c r="H382"/>
      <c r="I382"/>
      <c r="J382"/>
      <c r="K382"/>
      <c r="L382"/>
      <c r="M382"/>
      <c r="N382"/>
    </row>
    <row r="383" spans="2:14" s="95" customFormat="1" ht="14.25" customHeight="1" x14ac:dyDescent="0.25">
      <c r="B383"/>
      <c r="C383"/>
      <c r="D383"/>
      <c r="E383"/>
      <c r="F383"/>
      <c r="G383"/>
      <c r="H383"/>
      <c r="I383"/>
      <c r="J383"/>
      <c r="K383"/>
      <c r="L383"/>
      <c r="M383"/>
      <c r="N383"/>
    </row>
    <row r="384" spans="2:14" s="95" customFormat="1" ht="14.25" customHeight="1" x14ac:dyDescent="0.25">
      <c r="B384"/>
      <c r="C384"/>
      <c r="D384"/>
      <c r="E384"/>
      <c r="F384"/>
      <c r="G384"/>
      <c r="H384"/>
      <c r="I384"/>
      <c r="J384"/>
      <c r="K384"/>
      <c r="L384"/>
      <c r="M384"/>
      <c r="N384"/>
    </row>
    <row r="385" spans="2:14" s="95" customFormat="1" ht="14.25" customHeight="1" x14ac:dyDescent="0.25">
      <c r="B385"/>
      <c r="C385"/>
      <c r="D385"/>
      <c r="E385"/>
      <c r="F385"/>
      <c r="G385"/>
      <c r="H385"/>
      <c r="I385"/>
      <c r="J385"/>
      <c r="K385"/>
      <c r="L385"/>
      <c r="M385"/>
      <c r="N385"/>
    </row>
    <row r="386" spans="2:14" s="95" customFormat="1" ht="14.25" customHeight="1" x14ac:dyDescent="0.25">
      <c r="B386"/>
      <c r="C386"/>
      <c r="D386"/>
      <c r="E386"/>
      <c r="F386"/>
      <c r="G386"/>
      <c r="H386"/>
      <c r="I386"/>
      <c r="J386"/>
      <c r="K386"/>
      <c r="L386"/>
      <c r="M386"/>
      <c r="N386"/>
    </row>
    <row r="387" spans="2:14" s="95" customFormat="1" ht="14.25" customHeight="1" x14ac:dyDescent="0.25">
      <c r="B387"/>
      <c r="C387"/>
      <c r="D387"/>
      <c r="E387"/>
      <c r="F387"/>
      <c r="G387"/>
      <c r="H387"/>
      <c r="I387"/>
      <c r="J387"/>
      <c r="K387"/>
      <c r="L387"/>
      <c r="M387"/>
      <c r="N387"/>
    </row>
    <row r="388" spans="2:14" s="95" customFormat="1" ht="14.25" customHeight="1" x14ac:dyDescent="0.25">
      <c r="B388"/>
      <c r="C388"/>
      <c r="D388"/>
      <c r="E388"/>
      <c r="F388"/>
      <c r="G388"/>
      <c r="H388"/>
      <c r="I388"/>
      <c r="J388"/>
      <c r="K388"/>
      <c r="L388"/>
      <c r="M388"/>
      <c r="N388"/>
    </row>
    <row r="389" spans="2:14" s="95" customFormat="1" ht="14.25" customHeight="1" x14ac:dyDescent="0.25">
      <c r="B389"/>
      <c r="C389"/>
      <c r="D389"/>
      <c r="E389"/>
      <c r="F389"/>
      <c r="G389"/>
      <c r="H389"/>
      <c r="I389"/>
      <c r="J389"/>
      <c r="K389"/>
      <c r="L389"/>
      <c r="M389"/>
      <c r="N389"/>
    </row>
    <row r="390" spans="2:14" s="95" customFormat="1" ht="14.25" customHeight="1" x14ac:dyDescent="0.25">
      <c r="B390"/>
      <c r="C390"/>
      <c r="D390"/>
      <c r="E390"/>
      <c r="F390"/>
      <c r="G390"/>
      <c r="H390"/>
      <c r="I390"/>
      <c r="J390"/>
      <c r="K390"/>
      <c r="L390"/>
      <c r="M390"/>
      <c r="N390"/>
    </row>
    <row r="391" spans="2:14" s="95" customFormat="1" ht="14.25" customHeight="1" x14ac:dyDescent="0.25">
      <c r="B391"/>
      <c r="C391"/>
      <c r="D391"/>
      <c r="E391"/>
      <c r="F391"/>
      <c r="G391"/>
      <c r="H391"/>
      <c r="I391"/>
      <c r="J391"/>
      <c r="K391"/>
      <c r="L391"/>
      <c r="M391"/>
      <c r="N391"/>
    </row>
    <row r="392" spans="2:14" s="95" customFormat="1" ht="14.25" customHeight="1" x14ac:dyDescent="0.25">
      <c r="B392"/>
      <c r="C392"/>
      <c r="D392"/>
      <c r="E392"/>
      <c r="F392"/>
      <c r="G392"/>
      <c r="H392"/>
      <c r="I392"/>
      <c r="J392"/>
      <c r="K392"/>
      <c r="L392"/>
      <c r="M392"/>
      <c r="N392"/>
    </row>
    <row r="393" spans="2:14" s="95" customFormat="1" ht="14.25" customHeight="1" x14ac:dyDescent="0.25">
      <c r="B393"/>
      <c r="C393"/>
      <c r="D393"/>
      <c r="E393"/>
      <c r="F393"/>
      <c r="G393"/>
      <c r="H393"/>
      <c r="I393"/>
      <c r="J393"/>
      <c r="K393"/>
      <c r="L393"/>
      <c r="M393"/>
      <c r="N393"/>
    </row>
    <row r="394" spans="2:14" s="95" customFormat="1" ht="14.25" customHeight="1" x14ac:dyDescent="0.25">
      <c r="B394"/>
      <c r="C394"/>
      <c r="D394"/>
      <c r="E394"/>
      <c r="F394"/>
      <c r="G394"/>
      <c r="H394"/>
      <c r="I394"/>
      <c r="J394"/>
      <c r="K394"/>
      <c r="L394"/>
      <c r="M394"/>
      <c r="N394"/>
    </row>
    <row r="395" spans="2:14" s="95" customFormat="1" ht="14.25" customHeight="1" x14ac:dyDescent="0.25">
      <c r="B395"/>
      <c r="C395"/>
      <c r="D395"/>
      <c r="E395"/>
      <c r="F395"/>
      <c r="G395"/>
      <c r="H395"/>
      <c r="I395"/>
      <c r="J395"/>
      <c r="K395"/>
      <c r="L395"/>
      <c r="M395"/>
      <c r="N395"/>
    </row>
    <row r="396" spans="2:14" s="95" customFormat="1" ht="14.25" customHeight="1" x14ac:dyDescent="0.25">
      <c r="B396"/>
      <c r="C396"/>
      <c r="D396"/>
      <c r="E396"/>
      <c r="F396"/>
      <c r="G396"/>
      <c r="H396"/>
      <c r="I396"/>
      <c r="J396"/>
      <c r="K396"/>
      <c r="L396"/>
      <c r="M396"/>
      <c r="N396"/>
    </row>
    <row r="397" spans="2:14" s="95" customFormat="1" ht="14.25" customHeight="1" x14ac:dyDescent="0.25">
      <c r="B397"/>
      <c r="C397"/>
      <c r="D397"/>
      <c r="E397"/>
      <c r="F397"/>
      <c r="G397"/>
      <c r="H397"/>
      <c r="I397"/>
      <c r="J397"/>
      <c r="K397"/>
      <c r="L397"/>
      <c r="M397"/>
      <c r="N397"/>
    </row>
    <row r="398" spans="2:14" s="95" customFormat="1" ht="14.25" customHeight="1" x14ac:dyDescent="0.25">
      <c r="B398"/>
      <c r="C398"/>
      <c r="D398"/>
      <c r="E398"/>
      <c r="F398"/>
      <c r="G398"/>
      <c r="H398"/>
      <c r="I398"/>
      <c r="J398"/>
      <c r="K398"/>
      <c r="L398"/>
      <c r="M398"/>
      <c r="N398"/>
    </row>
    <row r="399" spans="2:14" s="95" customFormat="1" ht="14.25" customHeight="1" x14ac:dyDescent="0.25">
      <c r="B399"/>
      <c r="C399"/>
      <c r="D399"/>
      <c r="E399"/>
      <c r="F399"/>
      <c r="G399"/>
      <c r="H399"/>
      <c r="I399"/>
      <c r="J399"/>
      <c r="K399"/>
      <c r="L399"/>
      <c r="M399"/>
      <c r="N399"/>
    </row>
    <row r="400" spans="2:14" s="95" customFormat="1" ht="14.25" customHeight="1" x14ac:dyDescent="0.25">
      <c r="B400"/>
      <c r="C400"/>
      <c r="D400"/>
      <c r="E400"/>
      <c r="F400"/>
      <c r="G400"/>
      <c r="H400"/>
      <c r="I400"/>
      <c r="J400"/>
      <c r="K400"/>
      <c r="L400"/>
      <c r="M400"/>
      <c r="N400"/>
    </row>
    <row r="401" spans="2:14" s="95" customFormat="1" ht="14.25" customHeight="1" x14ac:dyDescent="0.25">
      <c r="B401"/>
      <c r="C401"/>
      <c r="D401"/>
      <c r="E401"/>
      <c r="F401"/>
      <c r="G401"/>
      <c r="H401"/>
      <c r="I401"/>
      <c r="J401"/>
      <c r="K401"/>
      <c r="L401"/>
      <c r="M401"/>
      <c r="N401"/>
    </row>
    <row r="402" spans="2:14" s="95" customFormat="1" ht="14.25" customHeight="1" x14ac:dyDescent="0.25">
      <c r="B402"/>
      <c r="C402"/>
      <c r="D402"/>
      <c r="E402"/>
      <c r="F402"/>
      <c r="G402"/>
      <c r="H402"/>
      <c r="I402"/>
      <c r="J402"/>
      <c r="K402"/>
      <c r="L402"/>
      <c r="M402"/>
      <c r="N402"/>
    </row>
    <row r="403" spans="2:14" s="95" customFormat="1" ht="14.25" customHeight="1" x14ac:dyDescent="0.25">
      <c r="B403"/>
      <c r="C403"/>
      <c r="D403"/>
      <c r="E403"/>
      <c r="F403"/>
      <c r="G403"/>
      <c r="H403"/>
      <c r="I403"/>
      <c r="J403"/>
      <c r="K403"/>
      <c r="L403"/>
      <c r="M403"/>
      <c r="N403"/>
    </row>
    <row r="404" spans="2:14" s="95" customFormat="1" ht="14.25" customHeight="1" x14ac:dyDescent="0.25">
      <c r="B404"/>
      <c r="C404"/>
      <c r="D404"/>
      <c r="E404"/>
      <c r="F404"/>
      <c r="G404"/>
      <c r="H404"/>
      <c r="I404"/>
      <c r="J404"/>
      <c r="K404"/>
      <c r="L404"/>
      <c r="M404"/>
      <c r="N404"/>
    </row>
    <row r="405" spans="2:14" s="95" customFormat="1" ht="14.25" customHeight="1" x14ac:dyDescent="0.25">
      <c r="B405"/>
      <c r="C405"/>
      <c r="D405"/>
      <c r="E405"/>
      <c r="F405"/>
      <c r="G405"/>
      <c r="H405"/>
      <c r="I405"/>
      <c r="J405"/>
      <c r="K405"/>
      <c r="L405"/>
      <c r="M405"/>
      <c r="N405"/>
    </row>
    <row r="406" spans="2:14" s="95" customFormat="1" ht="14.25" customHeight="1" x14ac:dyDescent="0.25">
      <c r="B406"/>
      <c r="C406"/>
      <c r="D406"/>
      <c r="E406"/>
      <c r="F406"/>
      <c r="G406"/>
      <c r="H406"/>
      <c r="I406"/>
      <c r="J406"/>
      <c r="K406"/>
      <c r="L406"/>
      <c r="M406"/>
      <c r="N406"/>
    </row>
    <row r="407" spans="2:14" s="95" customFormat="1" ht="14.25" customHeight="1" x14ac:dyDescent="0.25">
      <c r="B407"/>
      <c r="C407"/>
      <c r="D407"/>
      <c r="E407"/>
      <c r="F407"/>
      <c r="G407"/>
      <c r="H407"/>
      <c r="I407"/>
      <c r="J407"/>
      <c r="K407"/>
      <c r="L407"/>
      <c r="M407"/>
      <c r="N407"/>
    </row>
    <row r="408" spans="2:14" s="95" customFormat="1" ht="14.25" customHeight="1" x14ac:dyDescent="0.25">
      <c r="B408"/>
      <c r="C408"/>
      <c r="D408"/>
      <c r="E408"/>
      <c r="F408"/>
      <c r="G408"/>
      <c r="H408"/>
      <c r="I408"/>
      <c r="J408"/>
      <c r="K408"/>
      <c r="L408"/>
      <c r="M408"/>
      <c r="N408"/>
    </row>
    <row r="409" spans="2:14" s="95" customFormat="1" ht="14.25" customHeight="1" x14ac:dyDescent="0.25">
      <c r="B409"/>
      <c r="C409"/>
      <c r="D409"/>
      <c r="E409"/>
      <c r="F409"/>
      <c r="G409"/>
      <c r="H409"/>
      <c r="I409"/>
      <c r="J409"/>
      <c r="K409"/>
      <c r="L409"/>
      <c r="M409"/>
      <c r="N409"/>
    </row>
    <row r="410" spans="2:14" s="95" customFormat="1" ht="14.25" customHeight="1" x14ac:dyDescent="0.25">
      <c r="B410"/>
      <c r="C410"/>
      <c r="D410"/>
      <c r="E410"/>
      <c r="F410"/>
      <c r="G410"/>
      <c r="H410"/>
      <c r="I410"/>
      <c r="J410"/>
      <c r="K410"/>
      <c r="L410"/>
      <c r="M410"/>
      <c r="N410"/>
    </row>
    <row r="411" spans="2:14" s="95" customFormat="1" ht="14.25" customHeight="1" x14ac:dyDescent="0.25">
      <c r="B411"/>
      <c r="C411"/>
      <c r="D411"/>
      <c r="E411"/>
      <c r="F411"/>
      <c r="G411"/>
      <c r="H411"/>
      <c r="I411"/>
      <c r="J411"/>
      <c r="K411"/>
      <c r="L411"/>
      <c r="M411"/>
      <c r="N411"/>
    </row>
    <row r="412" spans="2:14" s="95" customFormat="1" ht="14.25" customHeight="1" x14ac:dyDescent="0.25">
      <c r="B412"/>
      <c r="C412"/>
      <c r="D412"/>
      <c r="E412"/>
      <c r="F412"/>
      <c r="G412"/>
      <c r="H412"/>
      <c r="I412"/>
      <c r="J412"/>
      <c r="K412"/>
      <c r="L412"/>
      <c r="M412"/>
      <c r="N412"/>
    </row>
    <row r="413" spans="2:14" s="95" customFormat="1" ht="14.25" customHeight="1" x14ac:dyDescent="0.25">
      <c r="B413"/>
      <c r="C413"/>
      <c r="D413"/>
      <c r="E413"/>
      <c r="F413"/>
      <c r="G413"/>
      <c r="H413"/>
      <c r="I413"/>
      <c r="J413"/>
      <c r="K413"/>
      <c r="L413"/>
      <c r="M413"/>
      <c r="N413"/>
    </row>
    <row r="414" spans="2:14" s="95" customFormat="1" ht="14.25" customHeight="1" x14ac:dyDescent="0.25">
      <c r="B414"/>
      <c r="C414"/>
      <c r="D414"/>
      <c r="E414"/>
      <c r="F414"/>
      <c r="G414"/>
      <c r="H414"/>
      <c r="I414"/>
      <c r="J414"/>
      <c r="K414"/>
      <c r="L414"/>
      <c r="M414"/>
      <c r="N414"/>
    </row>
    <row r="415" spans="2:14" s="95" customFormat="1" ht="14.25" customHeight="1" x14ac:dyDescent="0.25">
      <c r="B415"/>
      <c r="C415"/>
      <c r="D415"/>
      <c r="E415"/>
      <c r="F415"/>
      <c r="G415"/>
      <c r="H415"/>
      <c r="I415"/>
      <c r="J415"/>
      <c r="K415"/>
      <c r="L415"/>
      <c r="M415"/>
      <c r="N415"/>
    </row>
    <row r="416" spans="2:14" s="95" customFormat="1" ht="14.25" customHeight="1" x14ac:dyDescent="0.25">
      <c r="B416"/>
      <c r="C416"/>
      <c r="D416"/>
      <c r="E416"/>
      <c r="F416"/>
      <c r="G416"/>
      <c r="H416"/>
      <c r="I416"/>
      <c r="J416"/>
      <c r="K416"/>
      <c r="L416"/>
      <c r="M416"/>
      <c r="N416"/>
    </row>
    <row r="417" spans="2:14" s="95" customFormat="1" ht="14.25" customHeight="1" x14ac:dyDescent="0.25">
      <c r="B417"/>
      <c r="C417"/>
      <c r="D417"/>
      <c r="E417"/>
      <c r="F417"/>
      <c r="G417"/>
      <c r="H417"/>
      <c r="I417"/>
      <c r="J417"/>
      <c r="K417"/>
      <c r="L417"/>
      <c r="M417"/>
      <c r="N417"/>
    </row>
    <row r="418" spans="2:14" s="95" customFormat="1" ht="14.25" customHeight="1" x14ac:dyDescent="0.25">
      <c r="B418"/>
      <c r="C418"/>
      <c r="D418"/>
      <c r="E418"/>
      <c r="F418"/>
      <c r="G418"/>
      <c r="H418"/>
      <c r="I418"/>
      <c r="J418"/>
      <c r="K418"/>
      <c r="L418"/>
      <c r="M418"/>
      <c r="N418"/>
    </row>
    <row r="419" spans="2:14" s="95" customFormat="1" ht="14.25" customHeight="1" x14ac:dyDescent="0.25">
      <c r="B419"/>
      <c r="C419"/>
      <c r="D419"/>
      <c r="E419"/>
      <c r="F419"/>
      <c r="G419"/>
      <c r="H419"/>
      <c r="I419"/>
      <c r="J419"/>
      <c r="K419"/>
      <c r="L419"/>
      <c r="M419"/>
      <c r="N419"/>
    </row>
    <row r="420" spans="2:14" s="95" customFormat="1" ht="14.25" customHeight="1" x14ac:dyDescent="0.25">
      <c r="B420"/>
      <c r="C420"/>
      <c r="D420"/>
      <c r="E420"/>
      <c r="F420"/>
      <c r="G420"/>
      <c r="H420"/>
      <c r="I420"/>
      <c r="J420"/>
      <c r="K420"/>
      <c r="L420"/>
      <c r="M420"/>
      <c r="N420"/>
    </row>
    <row r="421" spans="2:14" s="95" customFormat="1" ht="14.25" customHeight="1" x14ac:dyDescent="0.25">
      <c r="B421"/>
      <c r="C421"/>
      <c r="D421"/>
      <c r="E421"/>
      <c r="F421"/>
      <c r="G421"/>
      <c r="H421"/>
      <c r="I421"/>
      <c r="J421"/>
      <c r="K421"/>
      <c r="L421"/>
      <c r="M421"/>
      <c r="N421"/>
    </row>
    <row r="422" spans="2:14" s="95" customFormat="1" ht="14.25" customHeight="1" x14ac:dyDescent="0.25">
      <c r="B422"/>
      <c r="C422"/>
      <c r="D422"/>
      <c r="E422"/>
      <c r="F422"/>
      <c r="G422"/>
      <c r="H422"/>
      <c r="I422"/>
      <c r="J422"/>
      <c r="K422"/>
      <c r="L422"/>
      <c r="M422"/>
      <c r="N422"/>
    </row>
    <row r="423" spans="2:14" s="95" customFormat="1" ht="14.25" customHeight="1" x14ac:dyDescent="0.25">
      <c r="B423"/>
      <c r="C423"/>
      <c r="D423"/>
      <c r="E423"/>
      <c r="F423"/>
      <c r="G423"/>
      <c r="H423"/>
      <c r="I423"/>
      <c r="J423"/>
      <c r="K423"/>
      <c r="L423"/>
      <c r="M423"/>
      <c r="N423"/>
    </row>
    <row r="424" spans="2:14" s="95" customFormat="1" ht="14.25" customHeight="1" x14ac:dyDescent="0.25">
      <c r="B424"/>
      <c r="C424"/>
      <c r="D424"/>
      <c r="E424"/>
      <c r="F424"/>
      <c r="G424"/>
      <c r="H424"/>
      <c r="I424"/>
      <c r="J424"/>
      <c r="K424"/>
      <c r="L424"/>
      <c r="M424"/>
      <c r="N424"/>
    </row>
    <row r="425" spans="2:14" s="95" customFormat="1" ht="14.25" customHeight="1" x14ac:dyDescent="0.25">
      <c r="B425"/>
      <c r="C425"/>
      <c r="D425"/>
      <c r="E425"/>
      <c r="F425"/>
      <c r="G425"/>
      <c r="H425"/>
      <c r="I425"/>
      <c r="J425"/>
      <c r="K425"/>
      <c r="L425"/>
      <c r="M425"/>
      <c r="N425"/>
    </row>
    <row r="426" spans="2:14" s="95" customFormat="1" ht="14.25" customHeight="1" x14ac:dyDescent="0.25">
      <c r="B426"/>
      <c r="C426"/>
      <c r="D426"/>
      <c r="E426"/>
      <c r="F426"/>
      <c r="G426"/>
      <c r="H426"/>
      <c r="I426"/>
      <c r="J426"/>
      <c r="K426"/>
      <c r="L426"/>
      <c r="M426"/>
      <c r="N426"/>
    </row>
    <row r="427" spans="2:14" s="95" customFormat="1" ht="14.25" customHeight="1" x14ac:dyDescent="0.25">
      <c r="B427"/>
      <c r="C427"/>
      <c r="D427"/>
      <c r="E427"/>
      <c r="F427"/>
      <c r="G427"/>
      <c r="H427"/>
      <c r="I427"/>
      <c r="J427"/>
      <c r="K427"/>
      <c r="L427"/>
      <c r="M427"/>
      <c r="N427"/>
    </row>
    <row r="428" spans="2:14" s="95" customFormat="1" ht="14.25" customHeight="1" x14ac:dyDescent="0.25">
      <c r="B428"/>
      <c r="C428"/>
      <c r="D428"/>
      <c r="E428"/>
      <c r="F428"/>
      <c r="G428"/>
      <c r="H428"/>
      <c r="I428"/>
      <c r="J428"/>
      <c r="K428"/>
      <c r="L428"/>
      <c r="M428"/>
      <c r="N428"/>
    </row>
    <row r="429" spans="2:14" s="95" customFormat="1" ht="14.25" customHeight="1" x14ac:dyDescent="0.25">
      <c r="B429"/>
      <c r="C429"/>
      <c r="D429"/>
      <c r="E429"/>
      <c r="F429"/>
      <c r="G429"/>
      <c r="H429"/>
      <c r="I429"/>
      <c r="J429"/>
      <c r="K429"/>
      <c r="L429"/>
      <c r="M429"/>
      <c r="N429"/>
    </row>
    <row r="430" spans="2:14" s="95" customFormat="1" ht="14.25" customHeight="1" x14ac:dyDescent="0.25">
      <c r="B430"/>
      <c r="C430"/>
      <c r="D430"/>
      <c r="E430"/>
      <c r="F430"/>
      <c r="G430"/>
      <c r="H430"/>
      <c r="I430"/>
      <c r="J430"/>
      <c r="K430"/>
      <c r="L430"/>
      <c r="M430"/>
      <c r="N430"/>
    </row>
    <row r="431" spans="2:14" s="95" customFormat="1" ht="14.25" customHeight="1" x14ac:dyDescent="0.25">
      <c r="B431"/>
      <c r="C431"/>
      <c r="D431"/>
      <c r="E431"/>
      <c r="F431"/>
      <c r="G431"/>
      <c r="H431"/>
      <c r="I431"/>
      <c r="J431"/>
      <c r="K431"/>
      <c r="L431"/>
      <c r="M431"/>
      <c r="N431"/>
    </row>
    <row r="432" spans="2:14" s="95" customFormat="1" ht="14.25" customHeight="1" x14ac:dyDescent="0.25">
      <c r="B432"/>
      <c r="C432"/>
      <c r="D432"/>
      <c r="E432"/>
      <c r="F432"/>
      <c r="G432"/>
      <c r="H432"/>
      <c r="I432"/>
      <c r="J432"/>
      <c r="K432"/>
      <c r="L432"/>
      <c r="M432"/>
      <c r="N432"/>
    </row>
    <row r="433" spans="2:14" s="95" customFormat="1" ht="14.25" customHeight="1" x14ac:dyDescent="0.25">
      <c r="B433"/>
      <c r="C433"/>
      <c r="D433"/>
      <c r="E433"/>
      <c r="F433"/>
      <c r="G433"/>
      <c r="H433"/>
      <c r="I433"/>
      <c r="J433"/>
      <c r="K433"/>
      <c r="L433"/>
      <c r="M433"/>
      <c r="N433"/>
    </row>
    <row r="434" spans="2:14" s="95" customFormat="1" ht="14.25" customHeight="1" x14ac:dyDescent="0.25">
      <c r="B434"/>
      <c r="C434"/>
      <c r="D434"/>
      <c r="E434"/>
      <c r="F434"/>
      <c r="G434"/>
      <c r="H434"/>
      <c r="I434"/>
      <c r="J434"/>
      <c r="K434"/>
      <c r="L434"/>
      <c r="M434"/>
      <c r="N434"/>
    </row>
    <row r="435" spans="2:14" s="95" customFormat="1" ht="14.25" customHeight="1" x14ac:dyDescent="0.25">
      <c r="B435"/>
      <c r="C435"/>
      <c r="D435"/>
      <c r="E435"/>
      <c r="F435"/>
      <c r="G435"/>
      <c r="H435"/>
      <c r="I435"/>
      <c r="J435"/>
      <c r="K435"/>
      <c r="L435"/>
      <c r="M435"/>
      <c r="N435"/>
    </row>
    <row r="436" spans="2:14" s="95" customFormat="1" ht="14.25" customHeight="1" x14ac:dyDescent="0.25">
      <c r="B436"/>
      <c r="C436"/>
      <c r="D436"/>
      <c r="E436"/>
      <c r="F436"/>
      <c r="G436"/>
      <c r="H436"/>
      <c r="I436"/>
      <c r="J436"/>
      <c r="K436"/>
      <c r="L436"/>
      <c r="M436"/>
      <c r="N436"/>
    </row>
    <row r="437" spans="2:14" s="95" customFormat="1" ht="14.25" customHeight="1" x14ac:dyDescent="0.25">
      <c r="B437"/>
      <c r="C437"/>
      <c r="D437"/>
      <c r="E437"/>
      <c r="F437"/>
      <c r="G437"/>
      <c r="H437"/>
      <c r="I437"/>
      <c r="J437"/>
      <c r="K437"/>
      <c r="L437"/>
      <c r="M437"/>
      <c r="N437"/>
    </row>
    <row r="438" spans="2:14" s="95" customFormat="1" ht="14.25" customHeight="1" x14ac:dyDescent="0.25">
      <c r="B438"/>
      <c r="C438"/>
      <c r="D438"/>
      <c r="E438"/>
      <c r="F438"/>
      <c r="G438"/>
      <c r="H438"/>
      <c r="I438"/>
      <c r="J438"/>
      <c r="K438"/>
      <c r="L438"/>
      <c r="M438"/>
      <c r="N438"/>
    </row>
    <row r="439" spans="2:14" s="95" customFormat="1" ht="14.25" customHeight="1" x14ac:dyDescent="0.25">
      <c r="B439"/>
      <c r="C439"/>
      <c r="D439"/>
      <c r="E439"/>
      <c r="F439"/>
      <c r="G439"/>
      <c r="H439"/>
      <c r="I439"/>
      <c r="J439"/>
      <c r="K439"/>
      <c r="L439"/>
      <c r="M439"/>
      <c r="N439"/>
    </row>
    <row r="440" spans="2:14" s="95" customFormat="1" ht="14.25" customHeight="1" x14ac:dyDescent="0.25">
      <c r="B440"/>
      <c r="C440"/>
      <c r="D440"/>
      <c r="E440"/>
      <c r="F440"/>
      <c r="G440"/>
      <c r="H440"/>
      <c r="I440"/>
      <c r="J440"/>
      <c r="K440"/>
      <c r="L440"/>
      <c r="M440"/>
      <c r="N440"/>
    </row>
    <row r="441" spans="2:14" s="95" customFormat="1" ht="14.25" customHeight="1" x14ac:dyDescent="0.25">
      <c r="B441"/>
      <c r="C441"/>
      <c r="D441"/>
      <c r="E441"/>
      <c r="F441"/>
      <c r="G441"/>
      <c r="H441"/>
      <c r="I441"/>
      <c r="J441"/>
      <c r="K441"/>
      <c r="L441"/>
      <c r="M441"/>
      <c r="N441"/>
    </row>
    <row r="442" spans="2:14" s="95" customFormat="1" ht="14.25" customHeight="1" x14ac:dyDescent="0.25">
      <c r="B442"/>
      <c r="C442"/>
      <c r="D442"/>
      <c r="E442"/>
      <c r="F442"/>
      <c r="G442"/>
      <c r="H442"/>
      <c r="I442"/>
      <c r="J442"/>
      <c r="K442"/>
      <c r="L442"/>
      <c r="M442"/>
      <c r="N442"/>
    </row>
    <row r="443" spans="2:14" s="95" customFormat="1" ht="14.25" customHeight="1" x14ac:dyDescent="0.25">
      <c r="B443"/>
      <c r="C443"/>
      <c r="D443"/>
      <c r="E443"/>
      <c r="F443"/>
      <c r="G443"/>
      <c r="H443"/>
      <c r="I443"/>
      <c r="J443"/>
      <c r="K443"/>
      <c r="L443"/>
      <c r="M443"/>
      <c r="N443"/>
    </row>
    <row r="444" spans="2:14" s="95" customFormat="1" ht="14.25" customHeight="1" x14ac:dyDescent="0.25">
      <c r="B444"/>
      <c r="C444"/>
      <c r="D444"/>
      <c r="E444"/>
      <c r="F444"/>
      <c r="G444"/>
      <c r="H444"/>
      <c r="I444"/>
      <c r="J444"/>
      <c r="K444"/>
      <c r="L444"/>
      <c r="M444"/>
      <c r="N444"/>
    </row>
    <row r="445" spans="2:14" s="95" customFormat="1" ht="14.25" customHeight="1" x14ac:dyDescent="0.25">
      <c r="B445"/>
      <c r="C445"/>
      <c r="D445"/>
      <c r="E445"/>
      <c r="F445"/>
      <c r="G445"/>
      <c r="H445"/>
      <c r="I445"/>
      <c r="J445"/>
      <c r="K445"/>
      <c r="L445"/>
      <c r="M445"/>
      <c r="N445"/>
    </row>
    <row r="446" spans="2:14" s="95" customFormat="1" ht="14.25" customHeight="1" x14ac:dyDescent="0.25">
      <c r="B446"/>
      <c r="C446"/>
      <c r="D446"/>
      <c r="E446"/>
      <c r="F446"/>
      <c r="G446"/>
      <c r="H446"/>
      <c r="I446"/>
      <c r="J446"/>
      <c r="K446"/>
      <c r="L446"/>
      <c r="M446"/>
      <c r="N446"/>
    </row>
    <row r="447" spans="2:14" s="95" customFormat="1" ht="14.25" customHeight="1" x14ac:dyDescent="0.25">
      <c r="B447"/>
      <c r="C447"/>
      <c r="D447"/>
      <c r="E447"/>
      <c r="F447"/>
      <c r="G447"/>
      <c r="H447"/>
      <c r="I447"/>
      <c r="J447"/>
      <c r="K447"/>
      <c r="L447"/>
      <c r="M447"/>
      <c r="N447"/>
    </row>
    <row r="448" spans="2:14" s="95" customFormat="1" ht="14.25" customHeight="1" x14ac:dyDescent="0.25">
      <c r="B448"/>
      <c r="C448"/>
      <c r="D448"/>
      <c r="E448"/>
      <c r="F448"/>
      <c r="G448"/>
      <c r="H448"/>
      <c r="I448"/>
      <c r="J448"/>
      <c r="K448"/>
      <c r="L448"/>
      <c r="M448"/>
      <c r="N448"/>
    </row>
    <row r="449" spans="2:14" s="95" customFormat="1" ht="14.25" customHeight="1" x14ac:dyDescent="0.25">
      <c r="B449"/>
      <c r="C449"/>
      <c r="D449"/>
      <c r="E449"/>
      <c r="F449"/>
      <c r="G449"/>
      <c r="H449"/>
      <c r="I449"/>
      <c r="J449"/>
      <c r="K449"/>
      <c r="L449"/>
      <c r="M449"/>
      <c r="N449"/>
    </row>
    <row r="450" spans="2:14" s="95" customFormat="1" ht="14.25" customHeight="1" x14ac:dyDescent="0.25">
      <c r="B450"/>
      <c r="C450"/>
      <c r="D450"/>
      <c r="E450"/>
      <c r="F450"/>
      <c r="G450"/>
      <c r="H450"/>
      <c r="I450"/>
      <c r="J450"/>
      <c r="K450"/>
      <c r="L450"/>
      <c r="M450"/>
      <c r="N450"/>
    </row>
    <row r="451" spans="2:14" s="95" customFormat="1" ht="14.25" customHeight="1" x14ac:dyDescent="0.25">
      <c r="B451"/>
      <c r="C451"/>
      <c r="D451"/>
      <c r="E451"/>
      <c r="F451"/>
      <c r="G451"/>
      <c r="H451"/>
      <c r="I451"/>
      <c r="J451"/>
      <c r="K451"/>
      <c r="L451"/>
      <c r="M451"/>
      <c r="N451"/>
    </row>
    <row r="452" spans="2:14" s="95" customFormat="1" ht="14.25" customHeight="1" x14ac:dyDescent="0.25">
      <c r="B452"/>
      <c r="C452"/>
      <c r="D452"/>
      <c r="E452"/>
      <c r="F452"/>
      <c r="G452"/>
      <c r="H452"/>
      <c r="I452"/>
      <c r="J452"/>
      <c r="K452"/>
      <c r="L452"/>
      <c r="M452"/>
      <c r="N452"/>
    </row>
    <row r="453" spans="2:14" s="95" customFormat="1" ht="14.25" customHeight="1" x14ac:dyDescent="0.25">
      <c r="B453"/>
      <c r="C453"/>
      <c r="D453"/>
      <c r="E453"/>
      <c r="F453"/>
      <c r="G453"/>
      <c r="H453"/>
      <c r="I453"/>
      <c r="J453"/>
      <c r="K453"/>
      <c r="L453"/>
      <c r="M453"/>
      <c r="N453"/>
    </row>
    <row r="454" spans="2:14" s="95" customFormat="1" ht="14.25" customHeight="1" x14ac:dyDescent="0.25">
      <c r="B454"/>
      <c r="C454"/>
      <c r="D454"/>
      <c r="E454"/>
      <c r="F454"/>
      <c r="G454"/>
      <c r="H454"/>
      <c r="I454"/>
      <c r="J454"/>
      <c r="K454"/>
      <c r="L454"/>
      <c r="M454"/>
      <c r="N454"/>
    </row>
    <row r="455" spans="2:14" s="95" customFormat="1" ht="14.25" customHeight="1" x14ac:dyDescent="0.25">
      <c r="B455"/>
      <c r="C455"/>
      <c r="D455"/>
      <c r="E455"/>
      <c r="F455"/>
      <c r="G455"/>
      <c r="H455"/>
      <c r="I455"/>
      <c r="J455"/>
      <c r="K455"/>
      <c r="L455"/>
      <c r="M455"/>
      <c r="N455"/>
    </row>
    <row r="456" spans="2:14" s="95" customFormat="1" ht="14.25" customHeight="1" x14ac:dyDescent="0.25">
      <c r="B456"/>
      <c r="C456"/>
      <c r="D456"/>
      <c r="E456"/>
      <c r="F456"/>
      <c r="G456"/>
      <c r="H456"/>
      <c r="I456"/>
      <c r="J456"/>
      <c r="K456"/>
      <c r="L456"/>
      <c r="M456"/>
      <c r="N456"/>
    </row>
    <row r="457" spans="2:14" s="95" customFormat="1" ht="14.25" customHeight="1" x14ac:dyDescent="0.25">
      <c r="B457"/>
      <c r="C457"/>
      <c r="D457"/>
      <c r="E457"/>
      <c r="F457"/>
      <c r="G457"/>
      <c r="H457"/>
      <c r="I457"/>
      <c r="J457"/>
      <c r="K457"/>
      <c r="L457"/>
      <c r="M457"/>
      <c r="N457"/>
    </row>
    <row r="458" spans="2:14" s="95" customFormat="1" ht="14.25" customHeight="1" x14ac:dyDescent="0.25">
      <c r="B458"/>
      <c r="C458"/>
      <c r="D458"/>
      <c r="E458"/>
      <c r="F458"/>
      <c r="G458"/>
      <c r="H458"/>
      <c r="I458"/>
      <c r="J458"/>
      <c r="K458"/>
      <c r="L458"/>
      <c r="M458"/>
      <c r="N458"/>
    </row>
    <row r="459" spans="2:14" s="95" customFormat="1" ht="14.25" customHeight="1" x14ac:dyDescent="0.25">
      <c r="B459"/>
      <c r="C459"/>
      <c r="D459"/>
      <c r="E459"/>
      <c r="F459"/>
      <c r="G459"/>
      <c r="H459"/>
      <c r="I459"/>
      <c r="J459"/>
      <c r="K459"/>
      <c r="L459"/>
      <c r="M459"/>
      <c r="N459"/>
    </row>
    <row r="460" spans="2:14" s="95" customFormat="1" ht="14.25" customHeight="1" x14ac:dyDescent="0.25">
      <c r="B460"/>
      <c r="C460"/>
      <c r="D460"/>
      <c r="E460"/>
      <c r="F460"/>
      <c r="G460"/>
      <c r="H460"/>
      <c r="I460"/>
      <c r="J460"/>
      <c r="K460"/>
      <c r="L460"/>
      <c r="M460"/>
      <c r="N460"/>
    </row>
    <row r="461" spans="2:14" s="95" customFormat="1" ht="14.25" customHeight="1" x14ac:dyDescent="0.25">
      <c r="B461"/>
      <c r="C461"/>
      <c r="D461"/>
      <c r="E461"/>
      <c r="F461"/>
      <c r="G461"/>
      <c r="H461"/>
      <c r="I461"/>
      <c r="J461"/>
      <c r="K461"/>
      <c r="L461"/>
      <c r="M461"/>
      <c r="N461"/>
    </row>
    <row r="462" spans="2:14" s="95" customFormat="1" ht="14.25" customHeight="1" x14ac:dyDescent="0.25">
      <c r="B462"/>
      <c r="C462"/>
      <c r="D462"/>
      <c r="E462"/>
      <c r="F462"/>
      <c r="G462"/>
      <c r="H462"/>
      <c r="I462"/>
      <c r="J462"/>
      <c r="K462"/>
      <c r="L462"/>
      <c r="M462"/>
      <c r="N462"/>
    </row>
    <row r="463" spans="2:14" s="95" customFormat="1" ht="14.25" customHeight="1" x14ac:dyDescent="0.25">
      <c r="B463"/>
      <c r="C463"/>
      <c r="D463"/>
      <c r="E463"/>
      <c r="F463"/>
      <c r="G463"/>
      <c r="H463"/>
      <c r="I463"/>
      <c r="J463"/>
      <c r="K463"/>
      <c r="L463"/>
      <c r="M463"/>
      <c r="N463"/>
    </row>
    <row r="464" spans="2:14" s="95" customFormat="1" ht="14.25" customHeight="1" x14ac:dyDescent="0.25">
      <c r="B464"/>
      <c r="C464"/>
      <c r="D464"/>
      <c r="E464"/>
      <c r="F464"/>
      <c r="G464"/>
      <c r="H464"/>
      <c r="I464"/>
      <c r="J464"/>
      <c r="K464"/>
      <c r="L464"/>
      <c r="M464"/>
      <c r="N464"/>
    </row>
    <row r="465" spans="2:14" s="95" customFormat="1" ht="14.25" customHeight="1" x14ac:dyDescent="0.25">
      <c r="B465"/>
      <c r="C465"/>
      <c r="D465"/>
      <c r="E465"/>
      <c r="F465"/>
      <c r="G465"/>
      <c r="H465"/>
      <c r="I465"/>
      <c r="J465"/>
      <c r="K465"/>
      <c r="L465"/>
      <c r="M465"/>
      <c r="N465"/>
    </row>
    <row r="466" spans="2:14" s="95" customFormat="1" ht="14.25" customHeight="1" x14ac:dyDescent="0.25">
      <c r="B466"/>
      <c r="C466"/>
      <c r="D466"/>
      <c r="E466"/>
      <c r="F466"/>
      <c r="G466"/>
      <c r="H466"/>
      <c r="I466"/>
      <c r="J466"/>
      <c r="K466"/>
      <c r="L466"/>
      <c r="M466"/>
      <c r="N466"/>
    </row>
    <row r="467" spans="2:14" s="95" customFormat="1" ht="14.25" customHeight="1" x14ac:dyDescent="0.25">
      <c r="B467"/>
      <c r="C467"/>
      <c r="D467"/>
      <c r="E467"/>
      <c r="F467"/>
      <c r="G467"/>
      <c r="H467"/>
      <c r="I467"/>
      <c r="J467"/>
      <c r="K467"/>
      <c r="L467"/>
      <c r="M467"/>
      <c r="N467"/>
    </row>
    <row r="468" spans="2:14" s="95" customFormat="1" ht="14.25" customHeight="1" x14ac:dyDescent="0.25">
      <c r="B468"/>
      <c r="C468"/>
      <c r="D468"/>
      <c r="E468"/>
      <c r="F468"/>
      <c r="G468"/>
      <c r="H468"/>
      <c r="I468"/>
      <c r="J468"/>
      <c r="K468"/>
      <c r="L468"/>
      <c r="M468"/>
      <c r="N468"/>
    </row>
    <row r="469" spans="2:14" s="95" customFormat="1" ht="14.25" customHeight="1" x14ac:dyDescent="0.25">
      <c r="B469"/>
      <c r="C469"/>
      <c r="D469"/>
      <c r="E469"/>
      <c r="F469"/>
      <c r="G469"/>
      <c r="H469"/>
      <c r="I469"/>
      <c r="J469"/>
      <c r="K469"/>
      <c r="L469"/>
      <c r="M469"/>
      <c r="N469"/>
    </row>
    <row r="470" spans="2:14" s="95" customFormat="1" ht="14.25" customHeight="1" x14ac:dyDescent="0.25">
      <c r="B470"/>
      <c r="C470"/>
      <c r="D470"/>
      <c r="E470"/>
      <c r="F470"/>
      <c r="G470"/>
      <c r="H470"/>
      <c r="I470"/>
      <c r="J470"/>
      <c r="K470"/>
      <c r="L470"/>
      <c r="M470"/>
      <c r="N470"/>
    </row>
    <row r="471" spans="2:14" s="95" customFormat="1" ht="14.25" customHeight="1" x14ac:dyDescent="0.25">
      <c r="B471"/>
      <c r="C471"/>
      <c r="D471"/>
      <c r="E471"/>
      <c r="F471"/>
      <c r="G471"/>
      <c r="H471"/>
      <c r="I471"/>
      <c r="J471"/>
      <c r="K471"/>
      <c r="L471"/>
      <c r="M471"/>
      <c r="N471"/>
    </row>
    <row r="472" spans="2:14" s="95" customFormat="1" ht="14.25" customHeight="1" x14ac:dyDescent="0.25">
      <c r="B472"/>
      <c r="C472"/>
      <c r="D472"/>
      <c r="E472"/>
      <c r="F472"/>
      <c r="G472"/>
      <c r="H472"/>
      <c r="I472"/>
      <c r="J472"/>
      <c r="K472"/>
      <c r="L472"/>
      <c r="M472"/>
      <c r="N472"/>
    </row>
    <row r="473" spans="2:14" s="95" customFormat="1" ht="14.25" customHeight="1" x14ac:dyDescent="0.25">
      <c r="B473"/>
      <c r="C473"/>
      <c r="D473"/>
      <c r="E473"/>
      <c r="F473"/>
      <c r="G473"/>
      <c r="H473"/>
      <c r="I473"/>
      <c r="J473"/>
      <c r="K473"/>
      <c r="L473"/>
      <c r="M473"/>
      <c r="N473"/>
    </row>
    <row r="474" spans="2:14" s="95" customFormat="1" ht="14.25" customHeight="1" x14ac:dyDescent="0.25">
      <c r="B474"/>
      <c r="C474"/>
      <c r="D474"/>
      <c r="E474"/>
      <c r="F474"/>
      <c r="G474"/>
      <c r="H474"/>
      <c r="I474"/>
      <c r="J474"/>
      <c r="K474"/>
      <c r="L474"/>
      <c r="M474"/>
      <c r="N474"/>
    </row>
    <row r="475" spans="2:14" s="95" customFormat="1" ht="14.25" customHeight="1" x14ac:dyDescent="0.25">
      <c r="B475"/>
      <c r="C475"/>
      <c r="D475"/>
      <c r="E475"/>
      <c r="F475"/>
      <c r="G475"/>
      <c r="H475"/>
      <c r="I475"/>
      <c r="J475"/>
      <c r="K475"/>
      <c r="L475"/>
      <c r="M475"/>
      <c r="N475"/>
    </row>
    <row r="476" spans="2:14" s="95" customFormat="1" ht="14.25" customHeight="1" x14ac:dyDescent="0.25">
      <c r="B476"/>
      <c r="C476"/>
      <c r="D476"/>
      <c r="E476"/>
      <c r="F476"/>
      <c r="G476"/>
      <c r="H476"/>
      <c r="I476"/>
      <c r="J476"/>
      <c r="K476"/>
      <c r="L476"/>
      <c r="M476"/>
      <c r="N476"/>
    </row>
    <row r="477" spans="2:14" s="95" customFormat="1" ht="14.25" customHeight="1" x14ac:dyDescent="0.25">
      <c r="B477"/>
      <c r="C477"/>
      <c r="D477"/>
      <c r="E477"/>
      <c r="F477"/>
      <c r="G477"/>
      <c r="H477"/>
      <c r="I477"/>
      <c r="J477"/>
      <c r="K477"/>
      <c r="L477"/>
      <c r="M477"/>
      <c r="N477"/>
    </row>
    <row r="478" spans="2:14" s="95" customFormat="1" ht="14.25" customHeight="1" x14ac:dyDescent="0.25">
      <c r="B478"/>
      <c r="C478"/>
      <c r="D478"/>
      <c r="E478"/>
      <c r="F478"/>
      <c r="G478"/>
      <c r="H478"/>
      <c r="I478"/>
      <c r="J478"/>
      <c r="K478"/>
      <c r="L478"/>
      <c r="M478"/>
      <c r="N478"/>
    </row>
    <row r="479" spans="2:14" s="95" customFormat="1" ht="14.25" customHeight="1" x14ac:dyDescent="0.25">
      <c r="B479"/>
      <c r="C479"/>
      <c r="D479"/>
      <c r="E479"/>
      <c r="F479"/>
      <c r="G479"/>
      <c r="H479"/>
      <c r="I479"/>
      <c r="J479"/>
      <c r="K479"/>
      <c r="L479"/>
      <c r="M479"/>
      <c r="N479"/>
    </row>
    <row r="480" spans="2:14" s="95" customFormat="1" ht="14.25" customHeight="1" x14ac:dyDescent="0.25">
      <c r="B480"/>
      <c r="C480"/>
      <c r="D480"/>
      <c r="E480"/>
      <c r="F480"/>
      <c r="G480"/>
      <c r="H480"/>
      <c r="I480"/>
      <c r="J480"/>
      <c r="K480"/>
      <c r="L480"/>
      <c r="M480"/>
      <c r="N480"/>
    </row>
    <row r="481" spans="2:14" s="95" customFormat="1" ht="14.25" customHeight="1" x14ac:dyDescent="0.25">
      <c r="B481"/>
      <c r="C481"/>
      <c r="D481"/>
      <c r="E481"/>
      <c r="F481"/>
      <c r="G481"/>
      <c r="H481"/>
      <c r="I481"/>
      <c r="J481"/>
      <c r="K481"/>
      <c r="L481"/>
      <c r="M481"/>
      <c r="N481"/>
    </row>
    <row r="482" spans="2:14" s="95" customFormat="1" ht="14.25" customHeight="1" x14ac:dyDescent="0.25">
      <c r="B482"/>
      <c r="C482"/>
      <c r="D482"/>
      <c r="E482"/>
      <c r="F482"/>
      <c r="G482"/>
      <c r="H482"/>
      <c r="I482"/>
      <c r="J482"/>
      <c r="K482"/>
      <c r="L482"/>
      <c r="M482"/>
      <c r="N482"/>
    </row>
    <row r="483" spans="2:14" s="95" customFormat="1" ht="14.25" customHeight="1" x14ac:dyDescent="0.25">
      <c r="B483"/>
      <c r="C483"/>
      <c r="D483"/>
      <c r="E483"/>
      <c r="F483"/>
      <c r="G483"/>
      <c r="H483"/>
      <c r="I483"/>
      <c r="J483"/>
      <c r="K483"/>
      <c r="L483"/>
      <c r="M483"/>
      <c r="N483"/>
    </row>
    <row r="484" spans="2:14" s="95" customFormat="1" ht="14.25" customHeight="1" x14ac:dyDescent="0.25">
      <c r="B484"/>
      <c r="C484"/>
      <c r="D484"/>
      <c r="E484"/>
      <c r="F484"/>
      <c r="G484"/>
      <c r="H484"/>
      <c r="I484"/>
      <c r="J484"/>
      <c r="K484"/>
      <c r="L484"/>
      <c r="M484"/>
      <c r="N484"/>
    </row>
    <row r="485" spans="2:14" s="95" customFormat="1" ht="14.25" customHeight="1" x14ac:dyDescent="0.25">
      <c r="B485"/>
      <c r="C485"/>
      <c r="D485"/>
      <c r="E485"/>
      <c r="F485"/>
      <c r="G485"/>
      <c r="H485"/>
      <c r="I485"/>
      <c r="J485"/>
      <c r="K485"/>
      <c r="L485"/>
      <c r="M485"/>
      <c r="N485"/>
    </row>
    <row r="486" spans="2:14" s="95" customFormat="1" ht="14.25" customHeight="1" x14ac:dyDescent="0.25">
      <c r="B486"/>
      <c r="C486"/>
      <c r="D486"/>
      <c r="E486"/>
      <c r="F486"/>
      <c r="G486"/>
      <c r="H486"/>
      <c r="I486"/>
      <c r="J486"/>
      <c r="K486"/>
      <c r="L486"/>
      <c r="M486"/>
      <c r="N486"/>
    </row>
    <row r="487" spans="2:14" s="95" customFormat="1" ht="14.25" customHeight="1" x14ac:dyDescent="0.25">
      <c r="B487"/>
      <c r="C487"/>
      <c r="D487"/>
      <c r="E487"/>
      <c r="F487"/>
      <c r="G487"/>
      <c r="H487"/>
      <c r="I487"/>
      <c r="J487"/>
      <c r="K487"/>
      <c r="L487"/>
      <c r="M487"/>
      <c r="N487"/>
    </row>
    <row r="488" spans="2:14" s="95" customFormat="1" ht="14.25" customHeight="1" x14ac:dyDescent="0.25">
      <c r="B488"/>
      <c r="C488"/>
      <c r="D488"/>
      <c r="E488"/>
      <c r="F488"/>
      <c r="G488"/>
      <c r="H488"/>
      <c r="I488"/>
      <c r="J488"/>
      <c r="K488"/>
      <c r="L488"/>
      <c r="M488"/>
      <c r="N488"/>
    </row>
    <row r="489" spans="2:14" s="95" customFormat="1" ht="14.25" customHeight="1" x14ac:dyDescent="0.25">
      <c r="B489"/>
      <c r="C489"/>
      <c r="D489"/>
      <c r="E489"/>
      <c r="F489"/>
      <c r="G489"/>
      <c r="H489"/>
      <c r="I489"/>
      <c r="J489"/>
      <c r="K489"/>
      <c r="L489"/>
      <c r="M489"/>
      <c r="N489"/>
    </row>
    <row r="490" spans="2:14" s="95" customFormat="1" ht="14.25" customHeight="1" x14ac:dyDescent="0.25">
      <c r="B490"/>
      <c r="C490"/>
      <c r="D490"/>
      <c r="E490"/>
      <c r="F490"/>
      <c r="G490"/>
      <c r="H490"/>
      <c r="I490"/>
      <c r="J490"/>
      <c r="K490"/>
      <c r="L490"/>
      <c r="M490"/>
      <c r="N490"/>
    </row>
    <row r="491" spans="2:14" s="95" customFormat="1" ht="14.25" customHeight="1" x14ac:dyDescent="0.25">
      <c r="B491"/>
      <c r="C491"/>
      <c r="D491"/>
      <c r="E491"/>
      <c r="F491"/>
      <c r="G491"/>
      <c r="H491"/>
      <c r="I491"/>
      <c r="J491"/>
      <c r="K491"/>
      <c r="L491"/>
      <c r="M491"/>
      <c r="N491"/>
    </row>
    <row r="492" spans="2:14" s="95" customFormat="1" ht="14.25" customHeight="1" x14ac:dyDescent="0.25">
      <c r="B492"/>
      <c r="C492"/>
      <c r="D492"/>
      <c r="E492"/>
      <c r="F492"/>
      <c r="G492"/>
      <c r="H492"/>
      <c r="I492"/>
      <c r="J492"/>
      <c r="K492"/>
      <c r="L492"/>
      <c r="M492"/>
      <c r="N492"/>
    </row>
    <row r="493" spans="2:14" s="95" customFormat="1" ht="14.25" customHeight="1" x14ac:dyDescent="0.25">
      <c r="B493"/>
      <c r="C493"/>
      <c r="D493"/>
      <c r="E493"/>
      <c r="F493"/>
      <c r="G493"/>
      <c r="H493"/>
      <c r="I493"/>
      <c r="J493"/>
      <c r="K493"/>
      <c r="L493"/>
      <c r="M493"/>
      <c r="N493"/>
    </row>
    <row r="494" spans="2:14" s="95" customFormat="1" ht="14.25" customHeight="1" x14ac:dyDescent="0.25">
      <c r="B494"/>
      <c r="C494"/>
      <c r="D494"/>
      <c r="E494"/>
      <c r="F494"/>
      <c r="G494"/>
      <c r="H494"/>
      <c r="I494"/>
      <c r="J494"/>
      <c r="K494"/>
      <c r="L494"/>
      <c r="M494"/>
      <c r="N494"/>
    </row>
    <row r="495" spans="2:14" s="95" customFormat="1" ht="14.25" customHeight="1" x14ac:dyDescent="0.25">
      <c r="B495"/>
      <c r="C495"/>
      <c r="D495"/>
      <c r="E495"/>
      <c r="F495"/>
      <c r="G495"/>
      <c r="H495"/>
      <c r="I495"/>
      <c r="J495"/>
      <c r="K495"/>
      <c r="L495"/>
      <c r="M495"/>
      <c r="N495"/>
    </row>
    <row r="496" spans="2:14" s="95" customFormat="1" ht="14.25" customHeight="1" x14ac:dyDescent="0.25">
      <c r="B496"/>
      <c r="C496"/>
      <c r="D496"/>
      <c r="E496"/>
      <c r="F496"/>
      <c r="G496"/>
      <c r="H496"/>
      <c r="I496"/>
      <c r="J496"/>
      <c r="K496"/>
      <c r="L496"/>
      <c r="M496"/>
      <c r="N496"/>
    </row>
    <row r="497" spans="2:14" s="95" customFormat="1" ht="14.25" customHeight="1" x14ac:dyDescent="0.25">
      <c r="B497"/>
      <c r="C497"/>
      <c r="D497"/>
      <c r="E497"/>
      <c r="F497"/>
      <c r="G497"/>
      <c r="H497"/>
      <c r="I497"/>
      <c r="J497"/>
      <c r="K497"/>
      <c r="L497"/>
      <c r="M497"/>
      <c r="N497"/>
    </row>
    <row r="498" spans="2:14" s="95" customFormat="1" ht="14.25" customHeight="1" x14ac:dyDescent="0.25">
      <c r="B498"/>
      <c r="C498"/>
      <c r="D498"/>
      <c r="E498"/>
      <c r="F498"/>
      <c r="G498"/>
      <c r="H498"/>
      <c r="I498"/>
      <c r="J498"/>
      <c r="K498"/>
      <c r="L498"/>
      <c r="M498"/>
      <c r="N498"/>
    </row>
    <row r="499" spans="2:14" s="95" customFormat="1" ht="14.25" customHeight="1" x14ac:dyDescent="0.25">
      <c r="B499"/>
      <c r="C499"/>
      <c r="D499"/>
      <c r="E499"/>
      <c r="F499"/>
      <c r="G499"/>
      <c r="H499"/>
      <c r="I499"/>
      <c r="J499"/>
      <c r="K499"/>
      <c r="L499"/>
      <c r="M499"/>
      <c r="N499"/>
    </row>
    <row r="500" spans="2:14" s="95" customFormat="1" ht="14.25" customHeight="1" x14ac:dyDescent="0.25">
      <c r="B500"/>
      <c r="C500"/>
      <c r="D500"/>
      <c r="E500"/>
      <c r="F500"/>
      <c r="G500"/>
      <c r="H500"/>
      <c r="I500"/>
      <c r="J500"/>
      <c r="K500"/>
      <c r="L500"/>
      <c r="M500"/>
      <c r="N500"/>
    </row>
    <row r="501" spans="2:14" s="95" customFormat="1" ht="14.25" customHeight="1" x14ac:dyDescent="0.25">
      <c r="B501"/>
      <c r="C501"/>
      <c r="D501"/>
      <c r="E501"/>
      <c r="F501"/>
      <c r="G501"/>
      <c r="H501"/>
      <c r="I501"/>
      <c r="J501"/>
      <c r="K501"/>
      <c r="L501"/>
      <c r="M501"/>
      <c r="N501"/>
    </row>
    <row r="502" spans="2:14" s="95" customFormat="1" ht="14.25" customHeight="1" x14ac:dyDescent="0.25">
      <c r="B502"/>
      <c r="C502"/>
      <c r="D502"/>
      <c r="E502"/>
      <c r="F502"/>
      <c r="G502"/>
      <c r="H502"/>
      <c r="I502"/>
      <c r="J502"/>
      <c r="K502"/>
      <c r="L502"/>
      <c r="M502"/>
      <c r="N502"/>
    </row>
    <row r="503" spans="2:14" s="95" customFormat="1" ht="14.25" customHeight="1" x14ac:dyDescent="0.25">
      <c r="B503"/>
      <c r="C503"/>
      <c r="D503"/>
      <c r="E503"/>
      <c r="F503"/>
      <c r="G503"/>
      <c r="H503"/>
      <c r="I503"/>
      <c r="J503"/>
      <c r="K503"/>
      <c r="L503"/>
      <c r="M503"/>
      <c r="N503"/>
    </row>
    <row r="504" spans="2:14" s="95" customFormat="1" ht="14.25" customHeight="1" x14ac:dyDescent="0.25">
      <c r="B504"/>
      <c r="C504"/>
      <c r="D504"/>
      <c r="E504"/>
      <c r="F504"/>
      <c r="G504"/>
      <c r="H504"/>
      <c r="I504"/>
      <c r="J504"/>
      <c r="K504"/>
      <c r="L504"/>
      <c r="M504"/>
      <c r="N504"/>
    </row>
    <row r="505" spans="2:14" s="95" customFormat="1" ht="14.25" customHeight="1" x14ac:dyDescent="0.25">
      <c r="B505"/>
      <c r="C505"/>
      <c r="D505"/>
      <c r="E505"/>
      <c r="F505"/>
      <c r="G505"/>
      <c r="H505"/>
      <c r="I505"/>
      <c r="J505"/>
      <c r="K505"/>
      <c r="L505"/>
      <c r="M505"/>
      <c r="N505"/>
    </row>
    <row r="506" spans="2:14" s="95" customFormat="1" ht="14.25" customHeight="1" x14ac:dyDescent="0.25">
      <c r="B506"/>
      <c r="C506"/>
      <c r="D506"/>
      <c r="E506"/>
      <c r="F506"/>
      <c r="G506"/>
      <c r="H506"/>
      <c r="I506"/>
      <c r="J506"/>
      <c r="K506"/>
      <c r="L506"/>
      <c r="M506"/>
      <c r="N506"/>
    </row>
    <row r="507" spans="2:14" s="95" customFormat="1" ht="14.25" customHeight="1" x14ac:dyDescent="0.25">
      <c r="B507"/>
      <c r="C507"/>
      <c r="D507"/>
      <c r="E507"/>
      <c r="F507"/>
      <c r="G507"/>
      <c r="H507"/>
      <c r="I507"/>
      <c r="J507"/>
      <c r="K507"/>
      <c r="L507"/>
      <c r="M507"/>
      <c r="N507"/>
    </row>
    <row r="508" spans="2:14" s="95" customFormat="1" ht="14.25" customHeight="1" x14ac:dyDescent="0.25">
      <c r="B508"/>
      <c r="C508"/>
      <c r="D508"/>
      <c r="E508"/>
      <c r="F508"/>
      <c r="G508"/>
      <c r="H508"/>
      <c r="I508"/>
      <c r="J508"/>
      <c r="K508"/>
      <c r="L508"/>
      <c r="M508"/>
      <c r="N508"/>
    </row>
    <row r="509" spans="2:14" s="95" customFormat="1" ht="14.25" customHeight="1" x14ac:dyDescent="0.25">
      <c r="B509"/>
      <c r="C509"/>
      <c r="D509"/>
      <c r="E509"/>
      <c r="F509"/>
      <c r="G509"/>
      <c r="H509"/>
      <c r="I509"/>
      <c r="J509"/>
      <c r="K509"/>
      <c r="L509"/>
      <c r="M509"/>
      <c r="N509"/>
    </row>
    <row r="510" spans="2:14" s="95" customFormat="1" ht="14.25" customHeight="1" x14ac:dyDescent="0.25">
      <c r="B510"/>
      <c r="C510"/>
      <c r="D510"/>
      <c r="E510"/>
      <c r="F510"/>
      <c r="G510"/>
      <c r="H510"/>
      <c r="I510"/>
      <c r="J510"/>
      <c r="K510"/>
      <c r="L510"/>
      <c r="M510"/>
      <c r="N510"/>
    </row>
    <row r="511" spans="2:14" s="95" customFormat="1" ht="14.25" customHeight="1" x14ac:dyDescent="0.25">
      <c r="B511"/>
      <c r="C511"/>
      <c r="D511"/>
      <c r="E511"/>
      <c r="F511"/>
      <c r="G511"/>
      <c r="H511"/>
      <c r="I511"/>
      <c r="J511"/>
      <c r="K511"/>
      <c r="L511"/>
      <c r="M511"/>
      <c r="N511"/>
    </row>
    <row r="512" spans="2:14" s="95" customFormat="1" ht="14.25" customHeight="1" x14ac:dyDescent="0.25">
      <c r="B512"/>
      <c r="C512"/>
      <c r="D512"/>
      <c r="E512"/>
      <c r="F512"/>
      <c r="G512"/>
      <c r="H512"/>
      <c r="I512"/>
      <c r="J512"/>
      <c r="K512"/>
      <c r="L512"/>
      <c r="M512"/>
      <c r="N512"/>
    </row>
    <row r="513" spans="2:14" s="95" customFormat="1" ht="14.25" customHeight="1" x14ac:dyDescent="0.25">
      <c r="B513"/>
      <c r="C513"/>
      <c r="D513"/>
      <c r="E513"/>
      <c r="F513"/>
      <c r="G513"/>
      <c r="H513"/>
      <c r="I513"/>
      <c r="J513"/>
      <c r="K513"/>
      <c r="L513"/>
      <c r="M513"/>
      <c r="N513"/>
    </row>
    <row r="514" spans="2:14" s="95" customFormat="1" ht="14.25" customHeight="1" x14ac:dyDescent="0.25">
      <c r="B514"/>
      <c r="C514"/>
      <c r="D514"/>
      <c r="E514"/>
      <c r="F514"/>
      <c r="G514"/>
      <c r="H514"/>
      <c r="I514"/>
      <c r="J514"/>
      <c r="K514"/>
      <c r="L514"/>
      <c r="M514"/>
      <c r="N514"/>
    </row>
    <row r="515" spans="2:14" s="95" customFormat="1" ht="14.25" customHeight="1" x14ac:dyDescent="0.25">
      <c r="B515"/>
      <c r="C515"/>
      <c r="D515"/>
      <c r="E515"/>
      <c r="F515"/>
      <c r="G515"/>
      <c r="H515"/>
      <c r="I515"/>
      <c r="J515"/>
      <c r="K515"/>
      <c r="L515"/>
      <c r="M515"/>
      <c r="N515"/>
    </row>
    <row r="516" spans="2:14" s="95" customFormat="1" ht="14.25" customHeight="1" x14ac:dyDescent="0.25">
      <c r="B516"/>
      <c r="C516"/>
      <c r="D516"/>
      <c r="E516"/>
      <c r="F516"/>
      <c r="G516"/>
      <c r="H516"/>
      <c r="I516"/>
      <c r="J516"/>
      <c r="K516"/>
      <c r="L516"/>
      <c r="M516"/>
      <c r="N516"/>
    </row>
    <row r="517" spans="2:14" s="95" customFormat="1" ht="14.25" customHeight="1" x14ac:dyDescent="0.25">
      <c r="B517"/>
      <c r="C517"/>
      <c r="D517"/>
      <c r="E517"/>
      <c r="F517"/>
      <c r="G517"/>
      <c r="H517"/>
      <c r="I517"/>
      <c r="J517"/>
      <c r="K517"/>
      <c r="L517"/>
      <c r="M517"/>
      <c r="N517"/>
    </row>
    <row r="518" spans="2:14" s="95" customFormat="1" ht="14.25" customHeight="1" x14ac:dyDescent="0.25">
      <c r="B518"/>
      <c r="C518"/>
      <c r="D518"/>
      <c r="E518"/>
      <c r="F518"/>
      <c r="G518"/>
      <c r="H518"/>
      <c r="I518"/>
      <c r="J518"/>
      <c r="K518"/>
      <c r="L518"/>
      <c r="M518"/>
      <c r="N518"/>
    </row>
    <row r="519" spans="2:14" s="95" customFormat="1" ht="14.25" customHeight="1" x14ac:dyDescent="0.25">
      <c r="B519"/>
      <c r="C519"/>
      <c r="D519"/>
      <c r="E519"/>
      <c r="F519"/>
      <c r="G519"/>
      <c r="H519"/>
      <c r="I519"/>
      <c r="J519"/>
      <c r="K519"/>
      <c r="L519"/>
      <c r="M519"/>
      <c r="N519"/>
    </row>
    <row r="520" spans="2:14" s="95" customFormat="1" ht="14.25" customHeight="1" x14ac:dyDescent="0.25">
      <c r="B520"/>
      <c r="C520"/>
      <c r="D520"/>
      <c r="E520"/>
      <c r="F520"/>
      <c r="G520"/>
      <c r="H520"/>
      <c r="I520"/>
      <c r="J520"/>
      <c r="K520"/>
      <c r="L520"/>
      <c r="M520"/>
      <c r="N520"/>
    </row>
    <row r="521" spans="2:14" s="95" customFormat="1" ht="14.25" customHeight="1" x14ac:dyDescent="0.25">
      <c r="B521"/>
      <c r="C521"/>
      <c r="D521"/>
      <c r="E521"/>
      <c r="F521"/>
      <c r="G521"/>
      <c r="H521"/>
      <c r="I521"/>
      <c r="J521"/>
      <c r="K521"/>
      <c r="L521"/>
      <c r="M521"/>
      <c r="N521"/>
    </row>
    <row r="522" spans="2:14" s="95" customFormat="1" ht="14.25" customHeight="1" x14ac:dyDescent="0.25">
      <c r="B522"/>
      <c r="C522"/>
      <c r="D522"/>
      <c r="E522"/>
      <c r="F522"/>
      <c r="G522"/>
      <c r="H522"/>
      <c r="I522"/>
      <c r="J522"/>
      <c r="K522"/>
      <c r="L522"/>
      <c r="M522"/>
      <c r="N522"/>
    </row>
    <row r="523" spans="2:14" s="95" customFormat="1" ht="14.25" customHeight="1" x14ac:dyDescent="0.25">
      <c r="B523"/>
      <c r="C523"/>
      <c r="D523"/>
      <c r="E523"/>
      <c r="F523"/>
      <c r="G523"/>
      <c r="H523"/>
      <c r="I523"/>
      <c r="J523"/>
      <c r="K523"/>
      <c r="L523"/>
      <c r="M523"/>
      <c r="N523"/>
    </row>
    <row r="524" spans="2:14" s="95" customFormat="1" ht="14.25" customHeight="1" x14ac:dyDescent="0.25">
      <c r="B524"/>
      <c r="C524"/>
      <c r="D524"/>
      <c r="E524"/>
      <c r="F524"/>
      <c r="G524"/>
      <c r="H524"/>
      <c r="I524"/>
      <c r="J524"/>
      <c r="K524"/>
      <c r="L524"/>
      <c r="M524"/>
      <c r="N524"/>
    </row>
    <row r="525" spans="2:14" s="95" customFormat="1" ht="14.25" customHeight="1" x14ac:dyDescent="0.25">
      <c r="B525"/>
      <c r="C525"/>
      <c r="D525"/>
      <c r="E525"/>
      <c r="F525"/>
      <c r="G525"/>
      <c r="H525"/>
      <c r="I525"/>
      <c r="J525"/>
      <c r="K525"/>
      <c r="L525"/>
      <c r="M525"/>
      <c r="N525"/>
    </row>
    <row r="526" spans="2:14" s="95" customFormat="1" ht="14.25" customHeight="1" x14ac:dyDescent="0.25">
      <c r="B526"/>
      <c r="C526"/>
      <c r="D526"/>
      <c r="E526"/>
      <c r="F526"/>
      <c r="G526"/>
      <c r="H526"/>
      <c r="I526"/>
      <c r="J526"/>
      <c r="K526"/>
      <c r="L526"/>
      <c r="M526"/>
      <c r="N526"/>
    </row>
    <row r="527" spans="2:14" s="95" customFormat="1" ht="14.25" customHeight="1" x14ac:dyDescent="0.25">
      <c r="B527"/>
      <c r="C527"/>
      <c r="D527"/>
      <c r="E527"/>
      <c r="F527"/>
      <c r="G527"/>
      <c r="H527"/>
      <c r="I527"/>
      <c r="J527"/>
      <c r="K527"/>
      <c r="L527"/>
      <c r="M527"/>
      <c r="N527"/>
    </row>
    <row r="528" spans="2:14" s="95" customFormat="1" ht="14.25" customHeight="1" x14ac:dyDescent="0.25">
      <c r="B528"/>
      <c r="C528"/>
      <c r="D528"/>
      <c r="E528"/>
      <c r="F528"/>
      <c r="G528"/>
      <c r="H528"/>
      <c r="I528"/>
      <c r="J528"/>
      <c r="K528"/>
      <c r="L528"/>
      <c r="M528"/>
      <c r="N528"/>
    </row>
    <row r="529" spans="2:14" s="95" customFormat="1" ht="14.25" customHeight="1" x14ac:dyDescent="0.25">
      <c r="B529"/>
      <c r="C529"/>
      <c r="D529"/>
      <c r="E529"/>
      <c r="F529"/>
      <c r="G529"/>
      <c r="H529"/>
      <c r="I529"/>
      <c r="J529"/>
      <c r="K529"/>
      <c r="L529"/>
      <c r="M529"/>
      <c r="N529"/>
    </row>
    <row r="530" spans="2:14" s="95" customFormat="1" ht="14.25" customHeight="1" x14ac:dyDescent="0.25">
      <c r="B530"/>
      <c r="C530"/>
      <c r="D530"/>
      <c r="E530"/>
      <c r="F530"/>
      <c r="G530"/>
      <c r="H530"/>
      <c r="I530"/>
      <c r="J530"/>
      <c r="K530"/>
      <c r="L530"/>
      <c r="M530"/>
      <c r="N530"/>
    </row>
    <row r="531" spans="2:14" s="95" customFormat="1" ht="14.25" customHeight="1" x14ac:dyDescent="0.25">
      <c r="B531"/>
      <c r="C531"/>
      <c r="D531"/>
      <c r="E531"/>
      <c r="F531"/>
      <c r="G531"/>
      <c r="H531"/>
      <c r="I531"/>
      <c r="J531"/>
      <c r="K531"/>
      <c r="L531"/>
      <c r="M531"/>
      <c r="N531"/>
    </row>
    <row r="532" spans="2:14" s="95" customFormat="1" ht="14.25" customHeight="1" x14ac:dyDescent="0.25">
      <c r="B532"/>
      <c r="C532"/>
      <c r="D532"/>
      <c r="E532"/>
      <c r="F532"/>
      <c r="G532"/>
      <c r="H532"/>
      <c r="I532"/>
      <c r="J532"/>
      <c r="K532"/>
      <c r="L532"/>
      <c r="M532"/>
      <c r="N532"/>
    </row>
    <row r="533" spans="2:14" s="95" customFormat="1" ht="14.25" customHeight="1" x14ac:dyDescent="0.25">
      <c r="B533"/>
      <c r="C533"/>
      <c r="D533"/>
      <c r="E533"/>
      <c r="F533"/>
      <c r="G533"/>
      <c r="H533"/>
      <c r="I533"/>
      <c r="J533"/>
      <c r="K533"/>
      <c r="L533"/>
      <c r="M533"/>
      <c r="N533"/>
    </row>
    <row r="534" spans="2:14" s="95" customFormat="1" ht="14.25" customHeight="1" x14ac:dyDescent="0.25">
      <c r="B534"/>
      <c r="C534"/>
      <c r="D534"/>
      <c r="E534"/>
      <c r="F534"/>
      <c r="G534"/>
      <c r="H534"/>
      <c r="I534"/>
      <c r="J534"/>
      <c r="K534"/>
      <c r="L534"/>
      <c r="M534"/>
      <c r="N534"/>
    </row>
    <row r="535" spans="2:14" s="95" customFormat="1" ht="14.25" customHeight="1" x14ac:dyDescent="0.25">
      <c r="B535"/>
      <c r="C535"/>
      <c r="D535"/>
      <c r="E535"/>
      <c r="F535"/>
      <c r="G535"/>
      <c r="H535"/>
      <c r="I535"/>
      <c r="J535"/>
      <c r="K535"/>
      <c r="L535"/>
      <c r="M535"/>
      <c r="N535"/>
    </row>
    <row r="536" spans="2:14" s="95" customFormat="1" ht="14.25" customHeight="1" x14ac:dyDescent="0.25">
      <c r="B536"/>
      <c r="C536"/>
      <c r="D536"/>
      <c r="E536"/>
      <c r="F536"/>
      <c r="G536"/>
      <c r="H536"/>
      <c r="I536"/>
      <c r="J536"/>
      <c r="K536"/>
      <c r="L536"/>
      <c r="M536"/>
      <c r="N536"/>
    </row>
    <row r="537" spans="2:14" s="95" customFormat="1" ht="14.25" customHeight="1" x14ac:dyDescent="0.25">
      <c r="B537"/>
      <c r="C537"/>
      <c r="D537"/>
      <c r="E537"/>
      <c r="F537"/>
      <c r="G537"/>
      <c r="H537"/>
      <c r="I537"/>
      <c r="J537"/>
      <c r="K537"/>
      <c r="L537"/>
      <c r="M537"/>
      <c r="N537"/>
    </row>
    <row r="538" spans="2:14" s="95" customFormat="1" ht="14.25" customHeight="1" x14ac:dyDescent="0.25">
      <c r="B538"/>
      <c r="C538"/>
      <c r="D538"/>
      <c r="E538"/>
      <c r="F538"/>
      <c r="G538"/>
      <c r="H538"/>
      <c r="I538"/>
      <c r="J538"/>
      <c r="K538"/>
      <c r="L538"/>
      <c r="M538"/>
      <c r="N538"/>
    </row>
    <row r="539" spans="2:14" s="95" customFormat="1" ht="14.25" customHeight="1" x14ac:dyDescent="0.25">
      <c r="B539"/>
      <c r="C539"/>
      <c r="D539"/>
      <c r="E539"/>
      <c r="F539"/>
      <c r="G539"/>
      <c r="H539"/>
      <c r="I539"/>
      <c r="J539"/>
      <c r="K539"/>
      <c r="L539"/>
      <c r="M539"/>
      <c r="N539"/>
    </row>
    <row r="540" spans="2:14" s="95" customFormat="1" ht="14.25" customHeight="1" x14ac:dyDescent="0.25">
      <c r="B540"/>
      <c r="C540"/>
      <c r="D540"/>
      <c r="E540"/>
      <c r="F540"/>
      <c r="G540"/>
      <c r="H540"/>
      <c r="I540"/>
      <c r="J540"/>
      <c r="K540"/>
      <c r="L540"/>
      <c r="M540"/>
      <c r="N540"/>
    </row>
    <row r="541" spans="2:14" s="95" customFormat="1" ht="14.25" customHeight="1" x14ac:dyDescent="0.25">
      <c r="B541"/>
      <c r="C541"/>
      <c r="D541"/>
      <c r="E541"/>
      <c r="F541"/>
      <c r="G541"/>
      <c r="H541"/>
      <c r="I541"/>
      <c r="J541"/>
      <c r="K541"/>
      <c r="L541"/>
      <c r="M541"/>
      <c r="N541"/>
    </row>
    <row r="542" spans="2:14" s="95" customFormat="1" ht="14.25" customHeight="1" x14ac:dyDescent="0.25">
      <c r="B542"/>
      <c r="C542"/>
      <c r="D542"/>
      <c r="E542"/>
      <c r="F542"/>
      <c r="G542"/>
      <c r="H542"/>
      <c r="I542"/>
      <c r="J542"/>
      <c r="K542"/>
      <c r="L542"/>
      <c r="M542"/>
      <c r="N542"/>
    </row>
    <row r="543" spans="2:14" s="95" customFormat="1" ht="14.25" customHeight="1" x14ac:dyDescent="0.25">
      <c r="B543"/>
      <c r="C543"/>
      <c r="D543"/>
      <c r="E543"/>
      <c r="F543"/>
      <c r="G543"/>
      <c r="H543"/>
      <c r="I543"/>
      <c r="J543"/>
      <c r="K543"/>
      <c r="L543"/>
      <c r="M543"/>
      <c r="N543"/>
    </row>
    <row r="544" spans="2:14" s="95" customFormat="1" ht="14.25" customHeight="1" x14ac:dyDescent="0.25">
      <c r="B544"/>
      <c r="C544"/>
      <c r="D544"/>
      <c r="E544"/>
      <c r="F544"/>
      <c r="G544"/>
      <c r="H544"/>
      <c r="I544"/>
      <c r="J544"/>
      <c r="K544"/>
      <c r="L544"/>
      <c r="M544"/>
      <c r="N544"/>
    </row>
    <row r="545" spans="2:14" s="95" customFormat="1" ht="14.25" customHeight="1" x14ac:dyDescent="0.25">
      <c r="B545"/>
      <c r="C545"/>
      <c r="D545"/>
      <c r="E545"/>
      <c r="F545"/>
      <c r="G545"/>
      <c r="H545"/>
      <c r="I545"/>
      <c r="J545"/>
      <c r="K545"/>
      <c r="L545"/>
      <c r="M545"/>
      <c r="N545"/>
    </row>
    <row r="546" spans="2:14" s="95" customFormat="1" ht="14.25" customHeight="1" x14ac:dyDescent="0.25">
      <c r="B546"/>
      <c r="C546"/>
      <c r="D546"/>
      <c r="E546"/>
      <c r="F546"/>
      <c r="G546"/>
      <c r="H546"/>
      <c r="I546"/>
      <c r="J546"/>
      <c r="K546"/>
      <c r="L546"/>
      <c r="M546"/>
      <c r="N546"/>
    </row>
    <row r="547" spans="2:14" s="95" customFormat="1" ht="14.25" customHeight="1" x14ac:dyDescent="0.25">
      <c r="B547"/>
      <c r="C547"/>
      <c r="D547"/>
      <c r="E547"/>
      <c r="F547"/>
      <c r="G547"/>
      <c r="H547"/>
      <c r="I547"/>
      <c r="J547"/>
      <c r="K547"/>
      <c r="L547"/>
      <c r="M547"/>
      <c r="N547"/>
    </row>
    <row r="548" spans="2:14" s="95" customFormat="1" ht="14.25" customHeight="1" x14ac:dyDescent="0.25">
      <c r="B548"/>
      <c r="C548"/>
      <c r="D548"/>
      <c r="E548"/>
      <c r="F548"/>
      <c r="G548"/>
      <c r="H548"/>
      <c r="I548"/>
      <c r="J548"/>
      <c r="K548"/>
      <c r="L548"/>
      <c r="M548"/>
      <c r="N548"/>
    </row>
    <row r="549" spans="2:14" s="95" customFormat="1" ht="14.25" customHeight="1" x14ac:dyDescent="0.25">
      <c r="B549"/>
      <c r="C549"/>
      <c r="D549"/>
      <c r="E549"/>
      <c r="F549"/>
      <c r="G549"/>
      <c r="H549"/>
      <c r="I549"/>
      <c r="J549"/>
      <c r="K549"/>
      <c r="L549"/>
      <c r="M549"/>
      <c r="N549"/>
    </row>
    <row r="550" spans="2:14" s="95" customFormat="1" ht="14.25" customHeight="1" x14ac:dyDescent="0.25">
      <c r="B550"/>
      <c r="C550"/>
      <c r="D550"/>
      <c r="E550"/>
      <c r="F550"/>
      <c r="G550"/>
      <c r="H550"/>
      <c r="I550"/>
      <c r="J550"/>
      <c r="K550"/>
      <c r="L550"/>
      <c r="M550"/>
      <c r="N550"/>
    </row>
    <row r="551" spans="2:14" s="95" customFormat="1" ht="14.25" customHeight="1" x14ac:dyDescent="0.25">
      <c r="B551"/>
      <c r="C551"/>
      <c r="D551"/>
      <c r="E551"/>
      <c r="F551"/>
      <c r="G551"/>
      <c r="H551"/>
      <c r="I551"/>
      <c r="J551"/>
      <c r="K551"/>
      <c r="L551"/>
      <c r="M551"/>
      <c r="N551"/>
    </row>
    <row r="552" spans="2:14" s="95" customFormat="1" ht="14.25" customHeight="1" x14ac:dyDescent="0.25">
      <c r="B552"/>
      <c r="C552"/>
      <c r="D552"/>
      <c r="E552"/>
      <c r="F552"/>
      <c r="G552"/>
      <c r="H552"/>
      <c r="I552"/>
      <c r="J552"/>
      <c r="K552"/>
      <c r="L552"/>
      <c r="M552"/>
      <c r="N552"/>
    </row>
    <row r="553" spans="2:14" s="95" customFormat="1" ht="14.25" customHeight="1" x14ac:dyDescent="0.25">
      <c r="B553"/>
      <c r="C553"/>
      <c r="D553"/>
      <c r="E553"/>
      <c r="F553"/>
      <c r="G553"/>
      <c r="H553"/>
      <c r="I553"/>
      <c r="J553"/>
      <c r="K553"/>
      <c r="L553"/>
      <c r="M553"/>
      <c r="N553"/>
    </row>
    <row r="554" spans="2:14" s="95" customFormat="1" ht="14.25" customHeight="1" x14ac:dyDescent="0.25">
      <c r="B554"/>
      <c r="C554"/>
      <c r="D554"/>
      <c r="E554"/>
      <c r="F554"/>
      <c r="G554"/>
      <c r="H554"/>
      <c r="I554"/>
      <c r="J554"/>
      <c r="K554"/>
      <c r="L554"/>
      <c r="M554"/>
      <c r="N554"/>
    </row>
    <row r="555" spans="2:14" s="95" customFormat="1" ht="14.25" customHeight="1" x14ac:dyDescent="0.25">
      <c r="B555"/>
      <c r="C555"/>
      <c r="D555"/>
      <c r="E555"/>
      <c r="F555"/>
      <c r="G555"/>
      <c r="H555"/>
      <c r="I555"/>
      <c r="J555"/>
      <c r="K555"/>
      <c r="L555"/>
      <c r="M555"/>
      <c r="N555"/>
    </row>
    <row r="556" spans="2:14" s="95" customFormat="1" ht="14.25" customHeight="1" x14ac:dyDescent="0.25">
      <c r="B556"/>
      <c r="C556"/>
      <c r="D556"/>
      <c r="E556"/>
      <c r="F556"/>
      <c r="G556"/>
      <c r="H556"/>
      <c r="I556"/>
      <c r="J556"/>
      <c r="K556"/>
      <c r="L556"/>
      <c r="M556"/>
      <c r="N556"/>
    </row>
    <row r="557" spans="2:14" s="95" customFormat="1" ht="14.25" customHeight="1" x14ac:dyDescent="0.25">
      <c r="B557"/>
      <c r="C557"/>
      <c r="D557"/>
      <c r="E557"/>
      <c r="F557"/>
      <c r="G557"/>
      <c r="H557"/>
      <c r="I557"/>
      <c r="J557"/>
      <c r="K557"/>
      <c r="L557"/>
      <c r="M557"/>
      <c r="N557"/>
    </row>
    <row r="558" spans="2:14" s="95" customFormat="1" ht="14.25" customHeight="1" x14ac:dyDescent="0.25">
      <c r="B558"/>
      <c r="C558"/>
      <c r="D558"/>
      <c r="E558"/>
      <c r="F558"/>
      <c r="G558"/>
      <c r="H558"/>
      <c r="I558"/>
      <c r="J558"/>
      <c r="K558"/>
      <c r="L558"/>
      <c r="M558"/>
      <c r="N558"/>
    </row>
    <row r="559" spans="2:14" s="95" customFormat="1" ht="14.25" customHeight="1" x14ac:dyDescent="0.25">
      <c r="B559"/>
      <c r="C559"/>
      <c r="D559"/>
      <c r="E559"/>
      <c r="F559"/>
      <c r="G559"/>
      <c r="H559"/>
      <c r="I559"/>
      <c r="J559"/>
      <c r="K559"/>
      <c r="L559"/>
      <c r="M559"/>
      <c r="N559"/>
    </row>
    <row r="560" spans="2:14" s="95" customFormat="1" ht="14.25" customHeight="1" x14ac:dyDescent="0.25">
      <c r="B560"/>
      <c r="C560"/>
      <c r="D560"/>
      <c r="E560"/>
      <c r="F560"/>
      <c r="G560"/>
      <c r="H560"/>
      <c r="I560"/>
      <c r="J560"/>
      <c r="K560"/>
      <c r="L560"/>
      <c r="M560"/>
      <c r="N560"/>
    </row>
    <row r="561" spans="2:14" s="95" customFormat="1" ht="14.25" customHeight="1" x14ac:dyDescent="0.25">
      <c r="B561"/>
      <c r="C561"/>
      <c r="D561"/>
      <c r="E561"/>
      <c r="F561"/>
      <c r="G561"/>
      <c r="H561"/>
      <c r="I561"/>
      <c r="J561"/>
      <c r="K561"/>
      <c r="L561"/>
      <c r="M561"/>
      <c r="N561"/>
    </row>
    <row r="562" spans="2:14" s="95" customFormat="1" ht="14.25" customHeight="1" x14ac:dyDescent="0.25">
      <c r="B562"/>
      <c r="C562"/>
      <c r="D562"/>
      <c r="E562"/>
      <c r="F562"/>
      <c r="G562"/>
      <c r="H562"/>
      <c r="I562"/>
      <c r="J562"/>
      <c r="K562"/>
      <c r="L562"/>
      <c r="M562"/>
      <c r="N562"/>
    </row>
    <row r="563" spans="2:14" s="95" customFormat="1" ht="14.25" customHeight="1" x14ac:dyDescent="0.25">
      <c r="B563"/>
      <c r="C563"/>
      <c r="D563"/>
      <c r="E563"/>
      <c r="F563"/>
      <c r="G563"/>
      <c r="H563"/>
      <c r="I563"/>
      <c r="J563"/>
      <c r="K563"/>
      <c r="L563"/>
      <c r="M563"/>
      <c r="N563"/>
    </row>
    <row r="564" spans="2:14" s="95" customFormat="1" ht="14.25" customHeight="1" x14ac:dyDescent="0.25">
      <c r="B564"/>
      <c r="C564"/>
      <c r="D564"/>
      <c r="E564"/>
      <c r="F564"/>
      <c r="G564"/>
      <c r="H564"/>
      <c r="I564"/>
      <c r="J564"/>
      <c r="K564"/>
      <c r="L564"/>
      <c r="M564"/>
      <c r="N564"/>
    </row>
    <row r="565" spans="2:14" s="95" customFormat="1" ht="14.25" customHeight="1" x14ac:dyDescent="0.25">
      <c r="B565"/>
      <c r="C565"/>
      <c r="D565"/>
      <c r="E565"/>
      <c r="F565"/>
      <c r="G565"/>
      <c r="H565"/>
      <c r="I565"/>
      <c r="J565"/>
      <c r="K565"/>
      <c r="L565"/>
      <c r="M565"/>
      <c r="N565"/>
    </row>
    <row r="566" spans="2:14" s="95" customFormat="1" ht="14.25" customHeight="1" x14ac:dyDescent="0.25">
      <c r="B566"/>
      <c r="C566"/>
      <c r="D566"/>
      <c r="E566"/>
      <c r="F566"/>
      <c r="G566"/>
      <c r="H566"/>
      <c r="I566"/>
      <c r="J566"/>
      <c r="K566"/>
      <c r="L566"/>
      <c r="M566"/>
      <c r="N566"/>
    </row>
    <row r="567" spans="2:14" s="95" customFormat="1" ht="14.25" customHeight="1" x14ac:dyDescent="0.25">
      <c r="B567"/>
      <c r="C567"/>
      <c r="D567"/>
      <c r="E567"/>
      <c r="F567"/>
      <c r="G567"/>
      <c r="H567"/>
      <c r="I567"/>
      <c r="J567"/>
      <c r="K567"/>
      <c r="L567"/>
      <c r="M567"/>
      <c r="N567"/>
    </row>
    <row r="568" spans="2:14" s="95" customFormat="1" ht="14.25" customHeight="1" x14ac:dyDescent="0.25">
      <c r="B568"/>
      <c r="C568"/>
      <c r="D568"/>
      <c r="E568"/>
      <c r="F568"/>
      <c r="G568"/>
      <c r="H568"/>
      <c r="I568"/>
      <c r="J568"/>
      <c r="K568"/>
      <c r="L568"/>
      <c r="M568"/>
      <c r="N568"/>
    </row>
    <row r="569" spans="2:14" s="95" customFormat="1" ht="14.25" customHeight="1" x14ac:dyDescent="0.25">
      <c r="B569"/>
      <c r="C569"/>
      <c r="D569"/>
      <c r="E569"/>
      <c r="F569"/>
      <c r="G569"/>
      <c r="H569"/>
      <c r="I569"/>
      <c r="J569"/>
      <c r="K569"/>
      <c r="L569"/>
      <c r="M569"/>
      <c r="N569"/>
    </row>
    <row r="570" spans="2:14" s="95" customFormat="1" ht="14.25" customHeight="1" x14ac:dyDescent="0.25">
      <c r="B570"/>
      <c r="C570"/>
      <c r="D570"/>
      <c r="E570"/>
      <c r="F570"/>
      <c r="G570"/>
      <c r="H570"/>
      <c r="I570"/>
      <c r="J570"/>
      <c r="K570"/>
      <c r="L570"/>
      <c r="M570"/>
      <c r="N570"/>
    </row>
    <row r="571" spans="2:14" s="95" customFormat="1" ht="14.25" customHeight="1" x14ac:dyDescent="0.25">
      <c r="B571"/>
      <c r="C571"/>
      <c r="D571"/>
      <c r="E571"/>
      <c r="F571"/>
      <c r="G571"/>
      <c r="H571"/>
      <c r="I571"/>
      <c r="J571"/>
      <c r="K571"/>
      <c r="L571"/>
      <c r="M571"/>
      <c r="N571"/>
    </row>
    <row r="572" spans="2:14" s="95" customFormat="1" ht="14.25" customHeight="1" x14ac:dyDescent="0.25">
      <c r="B572"/>
      <c r="C572"/>
      <c r="D572"/>
      <c r="E572"/>
      <c r="F572"/>
      <c r="G572"/>
      <c r="H572"/>
      <c r="I572"/>
      <c r="J572"/>
      <c r="K572"/>
      <c r="L572"/>
      <c r="M572"/>
      <c r="N572"/>
    </row>
    <row r="573" spans="2:14" s="95" customFormat="1" ht="14.25" customHeight="1" x14ac:dyDescent="0.25">
      <c r="B573"/>
      <c r="C573"/>
      <c r="D573"/>
      <c r="E573"/>
      <c r="F573"/>
      <c r="G573"/>
      <c r="H573"/>
      <c r="I573"/>
      <c r="J573"/>
      <c r="K573"/>
      <c r="L573"/>
      <c r="M573"/>
      <c r="N573"/>
    </row>
    <row r="574" spans="2:14" s="95" customFormat="1" ht="14.25" customHeight="1" x14ac:dyDescent="0.25">
      <c r="B574"/>
      <c r="C574"/>
      <c r="D574"/>
      <c r="E574"/>
      <c r="F574"/>
      <c r="G574"/>
      <c r="H574"/>
      <c r="I574"/>
      <c r="J574"/>
      <c r="K574"/>
      <c r="L574"/>
      <c r="M574"/>
      <c r="N574"/>
    </row>
    <row r="575" spans="2:14" s="95" customFormat="1" ht="14.25" customHeight="1" x14ac:dyDescent="0.25">
      <c r="B575"/>
      <c r="C575"/>
      <c r="D575"/>
      <c r="E575"/>
      <c r="F575"/>
      <c r="G575"/>
      <c r="H575"/>
      <c r="I575"/>
      <c r="J575"/>
      <c r="K575"/>
      <c r="L575"/>
      <c r="M575"/>
      <c r="N575"/>
    </row>
    <row r="576" spans="2:14" s="95" customFormat="1" ht="14.25" customHeight="1" x14ac:dyDescent="0.25">
      <c r="B576"/>
      <c r="C576"/>
      <c r="D576"/>
      <c r="E576"/>
      <c r="F576"/>
      <c r="G576"/>
      <c r="H576"/>
      <c r="I576"/>
      <c r="J576"/>
      <c r="K576"/>
      <c r="L576"/>
      <c r="M576"/>
      <c r="N576"/>
    </row>
    <row r="577" spans="2:14" s="95" customFormat="1" ht="14.25" customHeight="1" x14ac:dyDescent="0.25">
      <c r="B577"/>
      <c r="C577"/>
      <c r="D577"/>
      <c r="E577"/>
      <c r="F577"/>
      <c r="G577"/>
      <c r="H577"/>
      <c r="I577"/>
      <c r="J577"/>
      <c r="K577"/>
      <c r="L577"/>
      <c r="M577"/>
      <c r="N577"/>
    </row>
    <row r="578" spans="2:14" s="95" customFormat="1" ht="14.25" customHeight="1" x14ac:dyDescent="0.25">
      <c r="B578"/>
      <c r="C578"/>
      <c r="D578"/>
      <c r="E578"/>
      <c r="F578"/>
      <c r="G578"/>
      <c r="H578"/>
      <c r="I578"/>
      <c r="J578"/>
      <c r="K578"/>
      <c r="L578"/>
      <c r="M578"/>
      <c r="N578"/>
    </row>
    <row r="579" spans="2:14" s="95" customFormat="1" ht="14.25" customHeight="1" x14ac:dyDescent="0.25">
      <c r="B579"/>
      <c r="C579"/>
      <c r="D579"/>
      <c r="E579"/>
      <c r="F579"/>
      <c r="G579"/>
      <c r="H579"/>
      <c r="I579"/>
      <c r="J579"/>
      <c r="K579"/>
      <c r="L579"/>
      <c r="M579"/>
      <c r="N579"/>
    </row>
    <row r="580" spans="2:14" s="95" customFormat="1" ht="14.25" customHeight="1" x14ac:dyDescent="0.25">
      <c r="B580"/>
      <c r="C580"/>
      <c r="D580"/>
      <c r="E580"/>
      <c r="F580"/>
      <c r="G580"/>
      <c r="H580"/>
      <c r="I580"/>
      <c r="J580"/>
      <c r="K580"/>
      <c r="L580"/>
      <c r="M580"/>
      <c r="N580"/>
    </row>
    <row r="581" spans="2:14" s="95" customFormat="1" ht="14.25" customHeight="1" x14ac:dyDescent="0.25">
      <c r="B581"/>
      <c r="C581"/>
      <c r="D581"/>
      <c r="E581"/>
      <c r="F581"/>
      <c r="G581"/>
      <c r="H581"/>
      <c r="I581"/>
      <c r="J581"/>
      <c r="K581"/>
      <c r="L581"/>
      <c r="M581"/>
      <c r="N581"/>
    </row>
    <row r="582" spans="2:14" s="95" customFormat="1" ht="14.25" customHeight="1" x14ac:dyDescent="0.25">
      <c r="B582"/>
      <c r="C582"/>
      <c r="D582"/>
      <c r="E582"/>
      <c r="F582"/>
      <c r="G582"/>
      <c r="H582"/>
      <c r="I582"/>
      <c r="J582"/>
      <c r="K582"/>
      <c r="L582"/>
      <c r="M582"/>
      <c r="N582"/>
    </row>
    <row r="583" spans="2:14" s="95" customFormat="1" ht="14.25" customHeight="1" x14ac:dyDescent="0.25">
      <c r="B583"/>
      <c r="C583"/>
      <c r="D583"/>
      <c r="E583"/>
      <c r="F583"/>
      <c r="G583"/>
      <c r="H583"/>
      <c r="I583"/>
      <c r="J583"/>
      <c r="K583"/>
      <c r="L583"/>
      <c r="M583"/>
      <c r="N583"/>
    </row>
    <row r="584" spans="2:14" s="95" customFormat="1" ht="14.25" customHeight="1" x14ac:dyDescent="0.25">
      <c r="B584"/>
      <c r="C584"/>
      <c r="D584"/>
      <c r="E584"/>
      <c r="F584"/>
      <c r="G584"/>
      <c r="H584"/>
      <c r="I584"/>
      <c r="J584"/>
      <c r="K584"/>
      <c r="L584"/>
      <c r="M584"/>
      <c r="N584"/>
    </row>
    <row r="585" spans="2:14" s="95" customFormat="1" ht="14.25" customHeight="1" x14ac:dyDescent="0.25">
      <c r="B585"/>
      <c r="C585"/>
      <c r="D585"/>
      <c r="E585"/>
      <c r="F585"/>
      <c r="G585"/>
      <c r="H585"/>
      <c r="I585"/>
      <c r="J585"/>
      <c r="K585"/>
      <c r="L585"/>
      <c r="M585"/>
      <c r="N585"/>
    </row>
    <row r="586" spans="2:14" s="95" customFormat="1" ht="14.25" customHeight="1" x14ac:dyDescent="0.25">
      <c r="B586"/>
      <c r="C586"/>
      <c r="D586"/>
      <c r="E586"/>
      <c r="F586"/>
      <c r="G586"/>
      <c r="H586"/>
      <c r="I586"/>
      <c r="J586"/>
      <c r="K586"/>
      <c r="L586"/>
      <c r="M586"/>
      <c r="N586"/>
    </row>
    <row r="587" spans="2:14" s="95" customFormat="1" ht="14.25" customHeight="1" x14ac:dyDescent="0.25">
      <c r="B587"/>
      <c r="C587"/>
      <c r="D587"/>
      <c r="E587"/>
      <c r="F587"/>
      <c r="G587"/>
      <c r="H587"/>
      <c r="I587"/>
      <c r="J587"/>
      <c r="K587"/>
      <c r="L587"/>
      <c r="M587"/>
      <c r="N587"/>
    </row>
    <row r="588" spans="2:14" s="95" customFormat="1" ht="14.25" customHeight="1" x14ac:dyDescent="0.25">
      <c r="B588"/>
      <c r="C588"/>
      <c r="D588"/>
      <c r="E588"/>
      <c r="F588"/>
      <c r="G588"/>
      <c r="H588"/>
      <c r="I588"/>
      <c r="J588"/>
      <c r="K588"/>
      <c r="L588"/>
      <c r="M588"/>
      <c r="N588"/>
    </row>
    <row r="589" spans="2:14" s="95" customFormat="1" ht="14.25" customHeight="1" x14ac:dyDescent="0.25">
      <c r="B589"/>
      <c r="C589"/>
      <c r="D589"/>
      <c r="E589"/>
      <c r="F589"/>
      <c r="G589"/>
      <c r="H589"/>
      <c r="I589"/>
      <c r="J589"/>
      <c r="K589"/>
      <c r="L589"/>
      <c r="M589"/>
      <c r="N589"/>
    </row>
    <row r="590" spans="2:14" s="95" customFormat="1" ht="14.25" customHeight="1" x14ac:dyDescent="0.25">
      <c r="B590"/>
      <c r="C590"/>
      <c r="D590"/>
      <c r="E590"/>
      <c r="F590"/>
      <c r="G590"/>
      <c r="H590"/>
      <c r="I590"/>
      <c r="J590"/>
      <c r="K590"/>
      <c r="L590"/>
      <c r="M590"/>
      <c r="N590"/>
    </row>
    <row r="591" spans="2:14" s="95" customFormat="1" ht="14.25" customHeight="1" x14ac:dyDescent="0.25">
      <c r="B591"/>
      <c r="C591"/>
      <c r="D591"/>
      <c r="E591"/>
      <c r="F591"/>
      <c r="G591"/>
      <c r="H591"/>
      <c r="I591"/>
      <c r="J591"/>
      <c r="K591"/>
      <c r="L591"/>
      <c r="M591"/>
      <c r="N591"/>
    </row>
    <row r="592" spans="2:14" s="95" customFormat="1" ht="14.25" customHeight="1" x14ac:dyDescent="0.25">
      <c r="B592"/>
      <c r="C592"/>
      <c r="D592"/>
      <c r="E592"/>
      <c r="F592"/>
      <c r="G592"/>
      <c r="H592"/>
      <c r="I592"/>
      <c r="J592"/>
      <c r="K592"/>
      <c r="L592"/>
      <c r="M592"/>
      <c r="N592"/>
    </row>
    <row r="593" spans="2:14" s="95" customFormat="1" ht="14.25" customHeight="1" x14ac:dyDescent="0.25">
      <c r="B593"/>
      <c r="C593"/>
      <c r="D593"/>
      <c r="E593"/>
      <c r="F593"/>
      <c r="G593"/>
      <c r="H593"/>
      <c r="I593"/>
      <c r="J593"/>
      <c r="K593"/>
      <c r="L593"/>
      <c r="M593"/>
      <c r="N593"/>
    </row>
    <row r="594" spans="2:14" s="95" customFormat="1" ht="14.25" customHeight="1" x14ac:dyDescent="0.25">
      <c r="B594"/>
      <c r="C594"/>
      <c r="D594"/>
      <c r="E594"/>
      <c r="F594"/>
      <c r="G594"/>
      <c r="H594"/>
      <c r="I594"/>
      <c r="J594"/>
      <c r="K594"/>
      <c r="L594"/>
      <c r="M594"/>
      <c r="N594"/>
    </row>
    <row r="595" spans="2:14" s="95" customFormat="1" ht="14.25" customHeight="1" x14ac:dyDescent="0.25">
      <c r="B595"/>
      <c r="C595"/>
      <c r="D595"/>
      <c r="E595"/>
      <c r="F595"/>
      <c r="G595"/>
      <c r="H595"/>
      <c r="I595"/>
      <c r="J595"/>
      <c r="K595"/>
      <c r="L595"/>
      <c r="M595"/>
      <c r="N595"/>
    </row>
    <row r="596" spans="2:14" s="95" customFormat="1" ht="14.25" customHeight="1" x14ac:dyDescent="0.25">
      <c r="B596"/>
      <c r="C596"/>
      <c r="D596"/>
      <c r="E596"/>
      <c r="F596"/>
      <c r="G596"/>
      <c r="H596"/>
      <c r="I596"/>
      <c r="J596"/>
      <c r="K596"/>
      <c r="L596"/>
      <c r="M596"/>
      <c r="N596"/>
    </row>
    <row r="597" spans="2:14" s="95" customFormat="1" ht="14.25" customHeight="1" x14ac:dyDescent="0.25">
      <c r="B597"/>
      <c r="C597"/>
      <c r="D597"/>
      <c r="E597"/>
      <c r="F597"/>
      <c r="G597"/>
      <c r="H597"/>
      <c r="I597"/>
      <c r="J597"/>
      <c r="K597"/>
      <c r="L597"/>
      <c r="M597"/>
      <c r="N597"/>
    </row>
    <row r="598" spans="2:14" s="95" customFormat="1" ht="14.25" customHeight="1" x14ac:dyDescent="0.25">
      <c r="B598"/>
      <c r="C598"/>
      <c r="D598"/>
      <c r="E598"/>
      <c r="F598"/>
      <c r="G598"/>
      <c r="H598"/>
      <c r="I598"/>
      <c r="J598"/>
      <c r="K598"/>
      <c r="L598"/>
      <c r="M598"/>
      <c r="N598"/>
    </row>
    <row r="599" spans="2:14" s="95" customFormat="1" ht="14.25" customHeight="1" x14ac:dyDescent="0.25">
      <c r="B599"/>
      <c r="C599"/>
      <c r="D599"/>
      <c r="E599"/>
      <c r="F599"/>
      <c r="G599"/>
      <c r="H599"/>
      <c r="I599"/>
      <c r="J599"/>
      <c r="K599"/>
      <c r="L599"/>
      <c r="M599"/>
      <c r="N599"/>
    </row>
    <row r="600" spans="2:14" s="95" customFormat="1" ht="14.25" customHeight="1" x14ac:dyDescent="0.25">
      <c r="B600"/>
      <c r="C600"/>
      <c r="D600"/>
      <c r="E600"/>
      <c r="F600"/>
      <c r="G600"/>
      <c r="H600"/>
      <c r="I600"/>
      <c r="J600"/>
      <c r="K600"/>
      <c r="L600"/>
      <c r="M600"/>
      <c r="N600"/>
    </row>
    <row r="601" spans="2:14" s="95" customFormat="1" ht="14.25" customHeight="1" x14ac:dyDescent="0.25">
      <c r="B601"/>
      <c r="C601"/>
      <c r="D601"/>
      <c r="E601"/>
      <c r="F601"/>
      <c r="G601"/>
      <c r="H601"/>
      <c r="I601"/>
      <c r="J601"/>
      <c r="K601"/>
      <c r="L601"/>
      <c r="M601"/>
      <c r="N601"/>
    </row>
    <row r="602" spans="2:14" s="95" customFormat="1" ht="14.25" customHeight="1" x14ac:dyDescent="0.25">
      <c r="B602"/>
      <c r="C602"/>
      <c r="D602"/>
      <c r="E602"/>
      <c r="F602"/>
      <c r="G602"/>
      <c r="H602"/>
      <c r="I602"/>
      <c r="J602"/>
      <c r="K602"/>
      <c r="L602"/>
      <c r="M602"/>
      <c r="N602"/>
    </row>
    <row r="603" spans="2:14" s="95" customFormat="1" ht="14.25" customHeight="1" x14ac:dyDescent="0.25">
      <c r="B603"/>
      <c r="C603"/>
      <c r="D603"/>
      <c r="E603"/>
      <c r="F603"/>
      <c r="G603"/>
      <c r="H603"/>
      <c r="I603"/>
      <c r="J603"/>
      <c r="K603"/>
      <c r="L603"/>
      <c r="M603"/>
      <c r="N603"/>
    </row>
    <row r="604" spans="2:14" s="95" customFormat="1" ht="14.25" customHeight="1" x14ac:dyDescent="0.25">
      <c r="B604"/>
      <c r="C604"/>
      <c r="D604"/>
      <c r="E604"/>
      <c r="F604"/>
      <c r="G604"/>
      <c r="H604"/>
      <c r="I604"/>
      <c r="J604"/>
      <c r="K604"/>
      <c r="L604"/>
      <c r="M604"/>
      <c r="N604"/>
    </row>
    <row r="605" spans="2:14" s="95" customFormat="1" ht="14.25" customHeight="1" x14ac:dyDescent="0.25">
      <c r="B605"/>
      <c r="C605"/>
      <c r="D605"/>
      <c r="E605"/>
      <c r="F605"/>
      <c r="G605"/>
      <c r="H605"/>
      <c r="I605"/>
      <c r="J605"/>
      <c r="K605"/>
      <c r="L605"/>
      <c r="M605"/>
      <c r="N605"/>
    </row>
    <row r="606" spans="2:14" s="95" customFormat="1" ht="14.25" customHeight="1" x14ac:dyDescent="0.25">
      <c r="B606"/>
      <c r="C606"/>
      <c r="D606"/>
      <c r="E606"/>
      <c r="F606"/>
      <c r="G606"/>
      <c r="H606"/>
      <c r="I606"/>
      <c r="J606"/>
      <c r="K606"/>
      <c r="L606"/>
      <c r="M606"/>
      <c r="N606"/>
    </row>
    <row r="607" spans="2:14" s="95" customFormat="1" ht="14.25" customHeight="1" x14ac:dyDescent="0.25">
      <c r="B607"/>
      <c r="C607"/>
      <c r="D607"/>
      <c r="E607"/>
      <c r="F607"/>
      <c r="G607"/>
      <c r="H607"/>
      <c r="I607"/>
      <c r="J607"/>
      <c r="K607"/>
      <c r="L607"/>
      <c r="M607"/>
      <c r="N607"/>
    </row>
    <row r="608" spans="2:14" s="95" customFormat="1" ht="14.25" customHeight="1" x14ac:dyDescent="0.25">
      <c r="B608"/>
      <c r="C608"/>
      <c r="D608"/>
      <c r="E608"/>
      <c r="F608"/>
      <c r="G608"/>
      <c r="H608"/>
      <c r="I608"/>
      <c r="J608"/>
      <c r="K608"/>
      <c r="L608"/>
      <c r="M608"/>
      <c r="N608"/>
    </row>
    <row r="609" spans="2:14" s="95" customFormat="1" ht="14.25" customHeight="1" x14ac:dyDescent="0.25">
      <c r="B609"/>
      <c r="C609"/>
      <c r="D609"/>
      <c r="E609"/>
      <c r="F609"/>
      <c r="G609"/>
      <c r="H609"/>
      <c r="I609"/>
      <c r="J609"/>
      <c r="K609"/>
      <c r="L609"/>
      <c r="M609"/>
      <c r="N609"/>
    </row>
    <row r="610" spans="2:14" s="95" customFormat="1" ht="14.25" customHeight="1" x14ac:dyDescent="0.25">
      <c r="B610"/>
      <c r="C610"/>
      <c r="D610"/>
      <c r="E610"/>
      <c r="F610"/>
      <c r="G610"/>
      <c r="H610"/>
      <c r="I610"/>
      <c r="J610"/>
      <c r="K610"/>
      <c r="L610"/>
      <c r="M610"/>
      <c r="N610"/>
    </row>
    <row r="611" spans="2:14" s="95" customFormat="1" ht="14.25" customHeight="1" x14ac:dyDescent="0.25">
      <c r="B611"/>
      <c r="C611"/>
      <c r="D611"/>
      <c r="E611"/>
      <c r="F611"/>
      <c r="G611"/>
      <c r="H611"/>
      <c r="I611"/>
      <c r="J611"/>
      <c r="K611"/>
      <c r="L611"/>
      <c r="M611"/>
      <c r="N611"/>
    </row>
    <row r="612" spans="2:14" s="95" customFormat="1" ht="14.25" customHeight="1" x14ac:dyDescent="0.25">
      <c r="B612"/>
      <c r="C612"/>
      <c r="D612"/>
      <c r="E612"/>
      <c r="F612"/>
      <c r="G612"/>
      <c r="H612"/>
      <c r="I612"/>
      <c r="J612"/>
      <c r="K612"/>
      <c r="L612"/>
      <c r="M612"/>
      <c r="N612"/>
    </row>
    <row r="613" spans="2:14" s="95" customFormat="1" ht="14.25" customHeight="1" x14ac:dyDescent="0.25">
      <c r="B613"/>
      <c r="C613"/>
      <c r="D613"/>
      <c r="E613"/>
      <c r="F613"/>
      <c r="G613"/>
      <c r="H613"/>
      <c r="I613"/>
      <c r="J613"/>
      <c r="K613"/>
      <c r="L613"/>
      <c r="M613"/>
      <c r="N613"/>
    </row>
    <row r="614" spans="2:14" s="95" customFormat="1" ht="14.25" customHeight="1" x14ac:dyDescent="0.25">
      <c r="B614"/>
      <c r="C614"/>
      <c r="D614"/>
      <c r="E614"/>
      <c r="F614"/>
      <c r="G614"/>
      <c r="H614"/>
      <c r="I614"/>
      <c r="J614"/>
      <c r="K614"/>
      <c r="L614"/>
      <c r="M614"/>
      <c r="N614"/>
    </row>
    <row r="615" spans="2:14" s="95" customFormat="1" ht="14.25" customHeight="1" x14ac:dyDescent="0.25">
      <c r="B615"/>
      <c r="C615"/>
      <c r="D615"/>
      <c r="E615"/>
      <c r="F615"/>
      <c r="G615"/>
      <c r="H615"/>
      <c r="I615"/>
      <c r="J615"/>
      <c r="K615"/>
      <c r="L615"/>
      <c r="M615"/>
      <c r="N615"/>
    </row>
    <row r="616" spans="2:14" s="95" customFormat="1" ht="14.25" customHeight="1" x14ac:dyDescent="0.25">
      <c r="B616"/>
      <c r="C616"/>
      <c r="D616"/>
      <c r="E616"/>
      <c r="F616"/>
      <c r="G616"/>
      <c r="H616"/>
      <c r="I616"/>
      <c r="J616"/>
      <c r="K616"/>
      <c r="L616"/>
      <c r="M616"/>
      <c r="N616"/>
    </row>
    <row r="617" spans="2:14" s="95" customFormat="1" ht="14.25" customHeight="1" x14ac:dyDescent="0.25">
      <c r="B617"/>
      <c r="C617"/>
      <c r="D617"/>
      <c r="E617"/>
      <c r="F617"/>
      <c r="G617"/>
      <c r="H617"/>
      <c r="I617"/>
      <c r="J617"/>
      <c r="K617"/>
      <c r="L617"/>
      <c r="M617"/>
      <c r="N617"/>
    </row>
    <row r="618" spans="2:14" s="95" customFormat="1" ht="14.25" customHeight="1" x14ac:dyDescent="0.25">
      <c r="B618"/>
      <c r="C618"/>
      <c r="D618"/>
      <c r="E618"/>
      <c r="F618"/>
      <c r="G618"/>
      <c r="H618"/>
      <c r="I618"/>
      <c r="J618"/>
      <c r="K618"/>
      <c r="L618"/>
      <c r="M618"/>
      <c r="N618"/>
    </row>
    <row r="619" spans="2:14" s="95" customFormat="1" ht="14.25" customHeight="1" x14ac:dyDescent="0.25">
      <c r="B619"/>
      <c r="C619"/>
      <c r="D619"/>
      <c r="E619"/>
      <c r="F619"/>
      <c r="G619"/>
      <c r="H619"/>
      <c r="I619"/>
      <c r="J619"/>
      <c r="K619"/>
      <c r="L619"/>
      <c r="M619"/>
      <c r="N619"/>
    </row>
    <row r="620" spans="2:14" s="95" customFormat="1" ht="14.25" customHeight="1" x14ac:dyDescent="0.25">
      <c r="B620"/>
      <c r="C620"/>
      <c r="D620"/>
      <c r="E620"/>
      <c r="F620"/>
      <c r="G620"/>
      <c r="H620"/>
      <c r="I620"/>
      <c r="J620"/>
      <c r="K620"/>
      <c r="L620"/>
      <c r="M620"/>
      <c r="N620"/>
    </row>
    <row r="621" spans="2:14" s="95" customFormat="1" ht="14.25" customHeight="1" x14ac:dyDescent="0.25">
      <c r="B621"/>
      <c r="C621"/>
      <c r="D621"/>
      <c r="E621"/>
      <c r="F621"/>
      <c r="G621"/>
      <c r="H621"/>
      <c r="I621"/>
      <c r="J621"/>
      <c r="K621"/>
      <c r="L621"/>
      <c r="M621"/>
      <c r="N621"/>
    </row>
    <row r="622" spans="2:14" s="95" customFormat="1" ht="14.25" customHeight="1" x14ac:dyDescent="0.25">
      <c r="B622"/>
      <c r="C622"/>
      <c r="D622"/>
      <c r="E622"/>
      <c r="F622"/>
      <c r="G622"/>
      <c r="H622"/>
      <c r="I622"/>
      <c r="J622"/>
      <c r="K622"/>
      <c r="L622"/>
      <c r="M622"/>
      <c r="N622"/>
    </row>
    <row r="623" spans="2:14" s="95" customFormat="1" ht="14.25" customHeight="1" x14ac:dyDescent="0.25">
      <c r="B623"/>
      <c r="C623"/>
      <c r="D623"/>
      <c r="E623"/>
      <c r="F623"/>
      <c r="G623"/>
      <c r="H623"/>
      <c r="I623"/>
      <c r="J623"/>
      <c r="K623"/>
      <c r="L623"/>
      <c r="M623"/>
      <c r="N623"/>
    </row>
    <row r="624" spans="2:14" s="95" customFormat="1" ht="14.25" customHeight="1" x14ac:dyDescent="0.25">
      <c r="B624"/>
      <c r="C624"/>
      <c r="D624"/>
      <c r="E624"/>
      <c r="F624"/>
      <c r="G624"/>
      <c r="H624"/>
      <c r="I624"/>
      <c r="J624"/>
      <c r="K624"/>
      <c r="L624"/>
      <c r="M624"/>
      <c r="N624"/>
    </row>
    <row r="625" spans="2:14" s="95" customFormat="1" ht="14.25" customHeight="1" x14ac:dyDescent="0.25">
      <c r="B625"/>
      <c r="C625"/>
      <c r="D625"/>
      <c r="E625"/>
      <c r="F625"/>
      <c r="G625"/>
      <c r="H625"/>
      <c r="I625"/>
      <c r="J625"/>
      <c r="K625"/>
      <c r="L625"/>
      <c r="M625"/>
      <c r="N625"/>
    </row>
    <row r="626" spans="2:14" s="95" customFormat="1" ht="14.25" customHeight="1" x14ac:dyDescent="0.25">
      <c r="B626"/>
      <c r="C626"/>
      <c r="D626"/>
      <c r="E626"/>
      <c r="F626"/>
      <c r="G626"/>
      <c r="H626"/>
      <c r="I626"/>
      <c r="J626"/>
      <c r="K626"/>
      <c r="L626"/>
      <c r="M626"/>
      <c r="N626"/>
    </row>
    <row r="627" spans="2:14" s="95" customFormat="1" ht="14.25" customHeight="1" x14ac:dyDescent="0.25">
      <c r="B627"/>
      <c r="C627"/>
      <c r="D627"/>
      <c r="E627"/>
      <c r="F627"/>
      <c r="G627"/>
      <c r="H627"/>
      <c r="I627"/>
      <c r="J627"/>
      <c r="K627"/>
      <c r="L627"/>
      <c r="M627"/>
      <c r="N627"/>
    </row>
    <row r="628" spans="2:14" s="95" customFormat="1" ht="14.25" customHeight="1" x14ac:dyDescent="0.25">
      <c r="B628"/>
      <c r="C628"/>
      <c r="D628"/>
      <c r="E628"/>
      <c r="F628"/>
      <c r="G628"/>
      <c r="H628"/>
      <c r="I628"/>
      <c r="J628"/>
      <c r="K628"/>
      <c r="L628"/>
      <c r="M628"/>
      <c r="N628"/>
    </row>
    <row r="629" spans="2:14" s="95" customFormat="1" ht="14.25" customHeight="1" x14ac:dyDescent="0.25">
      <c r="B629"/>
      <c r="C629"/>
      <c r="D629"/>
      <c r="E629"/>
      <c r="F629"/>
      <c r="G629"/>
      <c r="H629"/>
      <c r="I629"/>
      <c r="J629"/>
      <c r="K629"/>
      <c r="L629"/>
      <c r="M629"/>
      <c r="N629"/>
    </row>
    <row r="630" spans="2:14" s="95" customFormat="1" ht="14.25" customHeight="1" x14ac:dyDescent="0.25">
      <c r="B630"/>
      <c r="C630"/>
      <c r="D630"/>
      <c r="E630"/>
      <c r="F630"/>
      <c r="G630"/>
      <c r="H630"/>
      <c r="I630"/>
      <c r="J630"/>
      <c r="K630"/>
      <c r="L630"/>
      <c r="M630"/>
      <c r="N630"/>
    </row>
    <row r="631" spans="2:14" s="95" customFormat="1" ht="14.25" customHeight="1" x14ac:dyDescent="0.25">
      <c r="B631"/>
      <c r="C631"/>
      <c r="D631"/>
      <c r="E631"/>
      <c r="F631"/>
      <c r="G631"/>
      <c r="H631"/>
      <c r="I631"/>
      <c r="J631"/>
      <c r="K631"/>
      <c r="L631"/>
      <c r="M631"/>
      <c r="N631"/>
    </row>
    <row r="632" spans="2:14" s="95" customFormat="1" ht="14.25" customHeight="1" x14ac:dyDescent="0.25">
      <c r="B632"/>
      <c r="C632"/>
      <c r="D632"/>
      <c r="E632"/>
      <c r="F632"/>
      <c r="G632"/>
      <c r="H632"/>
      <c r="I632"/>
      <c r="J632"/>
      <c r="K632"/>
      <c r="L632"/>
      <c r="M632"/>
      <c r="N632"/>
    </row>
    <row r="633" spans="2:14" s="95" customFormat="1" ht="14.25" customHeight="1" x14ac:dyDescent="0.25">
      <c r="B633"/>
      <c r="C633"/>
      <c r="D633"/>
      <c r="E633"/>
      <c r="F633"/>
      <c r="G633"/>
      <c r="H633"/>
      <c r="I633"/>
      <c r="J633"/>
      <c r="K633"/>
      <c r="L633"/>
      <c r="M633"/>
      <c r="N633"/>
    </row>
    <row r="634" spans="2:14" s="95" customFormat="1" ht="14.25" customHeight="1" x14ac:dyDescent="0.25">
      <c r="B634"/>
      <c r="C634"/>
      <c r="D634"/>
      <c r="E634"/>
      <c r="F634"/>
      <c r="G634"/>
      <c r="H634"/>
      <c r="I634"/>
      <c r="J634"/>
      <c r="K634"/>
      <c r="L634"/>
      <c r="M634"/>
      <c r="N634"/>
    </row>
    <row r="635" spans="2:14" s="95" customFormat="1" ht="14.25" customHeight="1" x14ac:dyDescent="0.25">
      <c r="B635"/>
      <c r="C635"/>
      <c r="D635"/>
      <c r="E635"/>
      <c r="F635"/>
      <c r="G635"/>
      <c r="H635"/>
      <c r="I635"/>
      <c r="J635"/>
      <c r="K635"/>
      <c r="L635"/>
      <c r="M635"/>
      <c r="N635"/>
    </row>
    <row r="636" spans="2:14" s="95" customFormat="1" ht="14.25" customHeight="1" x14ac:dyDescent="0.25">
      <c r="B636"/>
      <c r="C636"/>
      <c r="D636"/>
      <c r="E636"/>
      <c r="F636"/>
      <c r="G636"/>
      <c r="H636"/>
      <c r="I636"/>
      <c r="J636"/>
      <c r="K636"/>
      <c r="L636"/>
      <c r="M636"/>
      <c r="N636"/>
    </row>
    <row r="637" spans="2:14" s="95" customFormat="1" ht="14.25" customHeight="1" x14ac:dyDescent="0.25">
      <c r="B637"/>
      <c r="C637"/>
      <c r="D637"/>
      <c r="E637"/>
      <c r="F637"/>
      <c r="G637"/>
      <c r="H637"/>
      <c r="I637"/>
      <c r="J637"/>
      <c r="K637"/>
      <c r="L637"/>
      <c r="M637"/>
      <c r="N637"/>
    </row>
    <row r="638" spans="2:14" s="95" customFormat="1" ht="14.25" customHeight="1" x14ac:dyDescent="0.25">
      <c r="B638"/>
      <c r="C638"/>
      <c r="D638"/>
      <c r="E638"/>
      <c r="F638"/>
      <c r="G638"/>
      <c r="H638"/>
      <c r="I638"/>
      <c r="J638"/>
      <c r="K638"/>
      <c r="L638"/>
      <c r="M638"/>
      <c r="N638"/>
    </row>
    <row r="639" spans="2:14" s="95" customFormat="1" ht="14.25" customHeight="1" x14ac:dyDescent="0.25">
      <c r="B639"/>
      <c r="C639"/>
      <c r="D639"/>
      <c r="E639"/>
      <c r="F639"/>
      <c r="G639"/>
      <c r="H639"/>
      <c r="I639"/>
      <c r="J639"/>
      <c r="K639"/>
      <c r="L639"/>
      <c r="M639"/>
      <c r="N639"/>
    </row>
    <row r="640" spans="2:14" s="95" customFormat="1" ht="14.25" customHeight="1" x14ac:dyDescent="0.25">
      <c r="B640"/>
      <c r="C640"/>
      <c r="D640"/>
      <c r="E640"/>
      <c r="F640"/>
      <c r="G640"/>
      <c r="H640"/>
      <c r="I640"/>
      <c r="J640"/>
      <c r="K640"/>
      <c r="L640"/>
      <c r="M640"/>
      <c r="N640"/>
    </row>
    <row r="641" spans="2:14" s="95" customFormat="1" ht="14.25" customHeight="1" x14ac:dyDescent="0.25">
      <c r="B641"/>
      <c r="C641"/>
      <c r="D641"/>
      <c r="E641"/>
      <c r="F641"/>
      <c r="G641"/>
      <c r="H641"/>
      <c r="I641"/>
      <c r="J641"/>
      <c r="K641"/>
      <c r="L641"/>
      <c r="M641"/>
      <c r="N641"/>
    </row>
    <row r="642" spans="2:14" s="95" customFormat="1" ht="14.25" customHeight="1" x14ac:dyDescent="0.25">
      <c r="B642"/>
      <c r="C642"/>
      <c r="D642"/>
      <c r="E642"/>
      <c r="F642"/>
      <c r="G642"/>
      <c r="H642"/>
      <c r="I642"/>
      <c r="J642"/>
      <c r="K642"/>
      <c r="L642"/>
      <c r="M642"/>
      <c r="N642"/>
    </row>
    <row r="643" spans="2:14" s="95" customFormat="1" ht="14.25" customHeight="1" x14ac:dyDescent="0.25">
      <c r="B643"/>
      <c r="C643"/>
      <c r="D643"/>
      <c r="E643"/>
      <c r="F643"/>
      <c r="G643"/>
      <c r="H643"/>
      <c r="I643"/>
      <c r="J643"/>
      <c r="K643"/>
      <c r="L643"/>
      <c r="M643"/>
      <c r="N643"/>
    </row>
    <row r="644" spans="2:14" s="95" customFormat="1" ht="14.25" customHeight="1" x14ac:dyDescent="0.25">
      <c r="B644"/>
      <c r="C644"/>
      <c r="D644"/>
      <c r="E644"/>
      <c r="F644"/>
      <c r="G644"/>
      <c r="H644"/>
      <c r="I644"/>
      <c r="J644"/>
      <c r="K644"/>
      <c r="L644"/>
      <c r="M644"/>
      <c r="N644"/>
    </row>
    <row r="645" spans="2:14" s="95" customFormat="1" ht="14.25" customHeight="1" x14ac:dyDescent="0.25">
      <c r="B645"/>
      <c r="C645"/>
      <c r="D645"/>
      <c r="E645"/>
      <c r="F645"/>
      <c r="G645"/>
      <c r="H645"/>
      <c r="I645"/>
      <c r="J645"/>
      <c r="K645"/>
      <c r="L645"/>
      <c r="M645"/>
      <c r="N645"/>
    </row>
    <row r="646" spans="2:14" s="95" customFormat="1" ht="14.25" customHeight="1" x14ac:dyDescent="0.25">
      <c r="B646"/>
      <c r="C646"/>
      <c r="D646"/>
      <c r="E646"/>
      <c r="F646"/>
      <c r="G646"/>
      <c r="H646"/>
      <c r="I646"/>
      <c r="J646"/>
      <c r="K646"/>
      <c r="L646"/>
      <c r="M646"/>
      <c r="N646"/>
    </row>
    <row r="647" spans="2:14" s="95" customFormat="1" ht="14.25" customHeight="1" x14ac:dyDescent="0.25">
      <c r="B647"/>
      <c r="C647"/>
      <c r="D647"/>
      <c r="E647"/>
      <c r="F647"/>
      <c r="G647"/>
      <c r="H647"/>
      <c r="I647"/>
      <c r="J647"/>
      <c r="K647"/>
      <c r="L647"/>
      <c r="M647"/>
      <c r="N647"/>
    </row>
    <row r="648" spans="2:14" s="95" customFormat="1" ht="14.25" customHeight="1" x14ac:dyDescent="0.25">
      <c r="B648"/>
      <c r="C648"/>
      <c r="D648"/>
      <c r="E648"/>
      <c r="F648"/>
      <c r="G648"/>
      <c r="H648"/>
      <c r="I648"/>
      <c r="J648"/>
      <c r="K648"/>
      <c r="L648"/>
      <c r="M648"/>
      <c r="N648"/>
    </row>
    <row r="649" spans="2:14" s="95" customFormat="1" ht="14.25" customHeight="1" x14ac:dyDescent="0.25">
      <c r="B649"/>
      <c r="C649"/>
      <c r="D649"/>
      <c r="E649"/>
      <c r="F649"/>
      <c r="G649"/>
      <c r="H649"/>
      <c r="I649"/>
      <c r="J649"/>
      <c r="K649"/>
      <c r="L649"/>
      <c r="M649"/>
      <c r="N649"/>
    </row>
    <row r="650" spans="2:14" s="95" customFormat="1" ht="14.25" customHeight="1" x14ac:dyDescent="0.25">
      <c r="B650"/>
      <c r="C650"/>
      <c r="D650"/>
      <c r="E650"/>
      <c r="F650"/>
      <c r="G650"/>
      <c r="H650"/>
      <c r="I650"/>
      <c r="J650"/>
      <c r="K650"/>
      <c r="L650"/>
      <c r="M650"/>
      <c r="N650"/>
    </row>
    <row r="651" spans="2:14" s="95" customFormat="1" ht="14.25" customHeight="1" x14ac:dyDescent="0.25">
      <c r="B651"/>
      <c r="C651"/>
      <c r="D651"/>
      <c r="E651"/>
      <c r="F651"/>
      <c r="G651"/>
      <c r="H651"/>
      <c r="I651"/>
      <c r="J651"/>
      <c r="K651"/>
      <c r="L651"/>
      <c r="M651"/>
      <c r="N651"/>
    </row>
    <row r="652" spans="2:14" s="95" customFormat="1" ht="14.25" customHeight="1" x14ac:dyDescent="0.25">
      <c r="B652"/>
      <c r="C652"/>
      <c r="D652"/>
      <c r="E652"/>
      <c r="F652"/>
      <c r="G652"/>
      <c r="H652"/>
      <c r="I652"/>
      <c r="J652"/>
      <c r="K652"/>
      <c r="L652"/>
      <c r="M652"/>
      <c r="N652"/>
    </row>
    <row r="653" spans="2:14" s="95" customFormat="1" ht="14.25" customHeight="1" x14ac:dyDescent="0.25">
      <c r="B653"/>
      <c r="C653"/>
      <c r="D653"/>
      <c r="E653"/>
      <c r="F653"/>
      <c r="G653"/>
      <c r="H653"/>
      <c r="I653"/>
      <c r="J653"/>
      <c r="K653"/>
      <c r="L653"/>
      <c r="M653"/>
      <c r="N653"/>
    </row>
    <row r="654" spans="2:14" s="95" customFormat="1" ht="14.25" customHeight="1" x14ac:dyDescent="0.25">
      <c r="B654"/>
      <c r="C654"/>
      <c r="D654"/>
      <c r="E654"/>
      <c r="F654"/>
      <c r="G654"/>
      <c r="H654"/>
      <c r="I654"/>
      <c r="J654"/>
      <c r="K654"/>
      <c r="L654"/>
      <c r="M654"/>
      <c r="N654"/>
    </row>
    <row r="655" spans="2:14" s="95" customFormat="1" ht="14.25" customHeight="1" x14ac:dyDescent="0.25">
      <c r="B655"/>
      <c r="C655"/>
      <c r="D655"/>
      <c r="E655"/>
      <c r="F655"/>
      <c r="G655"/>
      <c r="H655"/>
      <c r="I655"/>
      <c r="J655"/>
      <c r="K655"/>
      <c r="L655"/>
      <c r="M655"/>
      <c r="N655"/>
    </row>
    <row r="656" spans="2:14" s="95" customFormat="1" ht="14.25" customHeight="1" x14ac:dyDescent="0.25">
      <c r="B656"/>
      <c r="C656"/>
      <c r="D656"/>
      <c r="E656"/>
      <c r="F656"/>
      <c r="G656"/>
      <c r="H656"/>
      <c r="I656"/>
      <c r="J656"/>
      <c r="K656"/>
      <c r="L656"/>
      <c r="M656"/>
      <c r="N656"/>
    </row>
    <row r="657" spans="2:14" s="95" customFormat="1" ht="14.25" customHeight="1" x14ac:dyDescent="0.25">
      <c r="B657"/>
      <c r="C657"/>
      <c r="D657"/>
      <c r="E657"/>
      <c r="F657"/>
      <c r="G657"/>
      <c r="H657"/>
      <c r="I657"/>
      <c r="J657"/>
      <c r="K657"/>
      <c r="L657"/>
      <c r="M657"/>
      <c r="N657"/>
    </row>
    <row r="658" spans="2:14" s="95" customFormat="1" ht="14.25" customHeight="1" x14ac:dyDescent="0.25">
      <c r="B658"/>
      <c r="C658"/>
      <c r="D658"/>
      <c r="E658"/>
      <c r="F658"/>
      <c r="G658"/>
      <c r="H658"/>
      <c r="I658"/>
      <c r="J658"/>
      <c r="K658"/>
      <c r="L658"/>
      <c r="M658"/>
      <c r="N658"/>
    </row>
    <row r="659" spans="2:14" s="95" customFormat="1" ht="14.25" customHeight="1" x14ac:dyDescent="0.25">
      <c r="B659"/>
      <c r="C659"/>
      <c r="D659"/>
      <c r="E659"/>
      <c r="F659"/>
      <c r="G659"/>
      <c r="H659"/>
      <c r="I659"/>
      <c r="J659"/>
      <c r="K659"/>
      <c r="L659"/>
      <c r="M659"/>
      <c r="N659"/>
    </row>
    <row r="660" spans="2:14" s="95" customFormat="1" ht="14.25" customHeight="1" x14ac:dyDescent="0.25">
      <c r="B660"/>
      <c r="C660"/>
      <c r="D660"/>
      <c r="E660"/>
      <c r="F660"/>
      <c r="G660"/>
      <c r="H660"/>
      <c r="I660"/>
      <c r="J660"/>
      <c r="K660"/>
      <c r="L660"/>
      <c r="M660"/>
      <c r="N660"/>
    </row>
    <row r="661" spans="2:14" s="95" customFormat="1" ht="14.25" customHeight="1" x14ac:dyDescent="0.25">
      <c r="B661"/>
      <c r="C661"/>
      <c r="D661"/>
      <c r="E661"/>
      <c r="F661"/>
      <c r="G661"/>
      <c r="H661"/>
      <c r="I661"/>
      <c r="J661"/>
      <c r="K661"/>
      <c r="L661"/>
      <c r="M661"/>
      <c r="N661"/>
    </row>
    <row r="662" spans="2:14" s="95" customFormat="1" ht="14.25" customHeight="1" x14ac:dyDescent="0.25">
      <c r="B662"/>
      <c r="C662"/>
      <c r="D662"/>
      <c r="E662"/>
      <c r="F662"/>
      <c r="G662"/>
      <c r="H662"/>
      <c r="I662"/>
      <c r="J662"/>
      <c r="K662"/>
      <c r="L662"/>
      <c r="M662"/>
      <c r="N662"/>
    </row>
    <row r="663" spans="2:14" s="95" customFormat="1" ht="14.25" customHeight="1" x14ac:dyDescent="0.25">
      <c r="B663"/>
      <c r="C663"/>
      <c r="D663"/>
      <c r="E663"/>
      <c r="F663"/>
      <c r="G663"/>
      <c r="H663"/>
      <c r="I663"/>
      <c r="J663"/>
      <c r="K663"/>
      <c r="L663"/>
      <c r="M663"/>
      <c r="N663"/>
    </row>
    <row r="664" spans="2:14" s="95" customFormat="1" ht="14.25" customHeight="1" x14ac:dyDescent="0.25">
      <c r="B664"/>
      <c r="C664"/>
      <c r="D664"/>
      <c r="E664"/>
      <c r="F664"/>
      <c r="G664"/>
      <c r="H664"/>
      <c r="I664"/>
      <c r="J664"/>
      <c r="K664"/>
      <c r="L664"/>
      <c r="M664"/>
      <c r="N664"/>
    </row>
    <row r="665" spans="2:14" s="95" customFormat="1" ht="14.25" customHeight="1" x14ac:dyDescent="0.25">
      <c r="B665"/>
      <c r="C665"/>
      <c r="D665"/>
      <c r="E665"/>
      <c r="F665"/>
      <c r="G665"/>
      <c r="H665"/>
      <c r="I665"/>
      <c r="J665"/>
      <c r="K665"/>
      <c r="L665"/>
      <c r="M665"/>
      <c r="N665"/>
    </row>
    <row r="666" spans="2:14" s="95" customFormat="1" ht="14.25" customHeight="1" x14ac:dyDescent="0.25">
      <c r="B666"/>
      <c r="C666"/>
      <c r="D666"/>
      <c r="E666"/>
      <c r="F666"/>
      <c r="G666"/>
      <c r="H666"/>
      <c r="I666"/>
      <c r="J666"/>
      <c r="K666"/>
      <c r="L666"/>
      <c r="M666"/>
      <c r="N666"/>
    </row>
    <row r="667" spans="2:14" s="95" customFormat="1" ht="14.25" customHeight="1" x14ac:dyDescent="0.25">
      <c r="B667"/>
      <c r="C667"/>
      <c r="D667"/>
      <c r="E667"/>
      <c r="F667"/>
      <c r="G667"/>
      <c r="H667"/>
      <c r="I667"/>
      <c r="J667"/>
      <c r="K667"/>
      <c r="L667"/>
      <c r="M667"/>
      <c r="N667"/>
    </row>
    <row r="668" spans="2:14" s="95" customFormat="1" ht="14.25" customHeight="1" x14ac:dyDescent="0.25">
      <c r="B668"/>
      <c r="C668"/>
      <c r="D668"/>
      <c r="E668"/>
      <c r="F668"/>
      <c r="G668"/>
      <c r="H668"/>
      <c r="I668"/>
      <c r="J668"/>
      <c r="K668"/>
      <c r="L668"/>
      <c r="M668"/>
      <c r="N668"/>
    </row>
    <row r="669" spans="2:14" s="95" customFormat="1" ht="14.25" customHeight="1" x14ac:dyDescent="0.25">
      <c r="B669"/>
      <c r="C669"/>
      <c r="D669"/>
      <c r="E669"/>
      <c r="F669"/>
      <c r="G669"/>
      <c r="H669"/>
      <c r="I669"/>
      <c r="J669"/>
      <c r="K669"/>
      <c r="L669"/>
      <c r="M669"/>
      <c r="N669"/>
    </row>
    <row r="670" spans="2:14" s="95" customFormat="1" ht="14.25" customHeight="1" x14ac:dyDescent="0.25">
      <c r="B670"/>
      <c r="C670"/>
      <c r="D670"/>
      <c r="E670"/>
      <c r="F670"/>
      <c r="G670"/>
      <c r="H670"/>
      <c r="I670"/>
      <c r="J670"/>
      <c r="K670"/>
      <c r="L670"/>
      <c r="M670"/>
      <c r="N670"/>
    </row>
    <row r="671" spans="2:14" s="95" customFormat="1" ht="14.25" customHeight="1" x14ac:dyDescent="0.25">
      <c r="B671"/>
      <c r="C671"/>
      <c r="D671"/>
      <c r="E671"/>
      <c r="F671"/>
      <c r="G671"/>
      <c r="H671"/>
      <c r="I671"/>
      <c r="J671"/>
      <c r="K671"/>
      <c r="L671"/>
      <c r="M671"/>
      <c r="N671"/>
    </row>
    <row r="672" spans="2:14" s="95" customFormat="1" ht="14.25" customHeight="1" x14ac:dyDescent="0.25">
      <c r="B672"/>
      <c r="C672"/>
      <c r="D672"/>
      <c r="E672"/>
      <c r="F672"/>
      <c r="G672"/>
      <c r="H672"/>
      <c r="I672"/>
      <c r="J672"/>
      <c r="K672"/>
      <c r="L672"/>
      <c r="M672"/>
      <c r="N672"/>
    </row>
    <row r="673" spans="2:14" s="95" customFormat="1" ht="14.25" customHeight="1" x14ac:dyDescent="0.25">
      <c r="B673"/>
      <c r="C673"/>
      <c r="D673"/>
      <c r="E673"/>
      <c r="F673"/>
      <c r="G673"/>
      <c r="H673"/>
      <c r="I673"/>
      <c r="J673"/>
      <c r="K673"/>
      <c r="L673"/>
      <c r="M673"/>
      <c r="N673"/>
    </row>
    <row r="674" spans="2:14" s="95" customFormat="1" ht="14.25" customHeight="1" x14ac:dyDescent="0.25">
      <c r="B674"/>
      <c r="C674"/>
      <c r="D674"/>
      <c r="E674"/>
      <c r="F674"/>
      <c r="G674"/>
      <c r="H674"/>
      <c r="I674"/>
      <c r="J674"/>
      <c r="K674"/>
      <c r="L674"/>
      <c r="M674"/>
      <c r="N674"/>
    </row>
    <row r="675" spans="2:14" s="95" customFormat="1" ht="14.25" customHeight="1" x14ac:dyDescent="0.25">
      <c r="B675"/>
      <c r="C675"/>
      <c r="D675"/>
      <c r="E675"/>
      <c r="F675"/>
      <c r="G675"/>
      <c r="H675"/>
      <c r="I675"/>
      <c r="J675"/>
      <c r="K675"/>
      <c r="L675"/>
      <c r="M675"/>
      <c r="N675"/>
    </row>
    <row r="676" spans="2:14" s="95" customFormat="1" ht="14.25" customHeight="1" x14ac:dyDescent="0.25">
      <c r="B676"/>
      <c r="C676"/>
      <c r="D676"/>
      <c r="E676"/>
      <c r="F676"/>
      <c r="G676"/>
      <c r="H676"/>
      <c r="I676"/>
      <c r="J676"/>
      <c r="K676"/>
      <c r="L676"/>
      <c r="M676"/>
      <c r="N676"/>
    </row>
    <row r="677" spans="2:14" s="95" customFormat="1" ht="14.25" customHeight="1" x14ac:dyDescent="0.25">
      <c r="B677"/>
      <c r="C677"/>
      <c r="D677"/>
      <c r="E677"/>
      <c r="F677"/>
      <c r="G677"/>
      <c r="H677"/>
      <c r="I677"/>
      <c r="J677"/>
      <c r="K677"/>
      <c r="L677"/>
      <c r="M677"/>
      <c r="N677"/>
    </row>
    <row r="678" spans="2:14" s="95" customFormat="1" ht="14.25" customHeight="1" x14ac:dyDescent="0.25">
      <c r="B678"/>
      <c r="C678"/>
      <c r="D678"/>
      <c r="E678"/>
      <c r="F678"/>
      <c r="G678"/>
      <c r="H678"/>
      <c r="I678"/>
      <c r="J678"/>
      <c r="K678"/>
      <c r="L678"/>
      <c r="M678"/>
      <c r="N678"/>
    </row>
    <row r="679" spans="2:14" s="95" customFormat="1" ht="14.25" customHeight="1" x14ac:dyDescent="0.25">
      <c r="B679"/>
      <c r="C679"/>
      <c r="D679"/>
      <c r="E679"/>
      <c r="F679"/>
      <c r="G679"/>
      <c r="H679"/>
      <c r="I679"/>
      <c r="J679"/>
      <c r="K679"/>
      <c r="L679"/>
      <c r="M679"/>
      <c r="N679"/>
    </row>
    <row r="680" spans="2:14" s="95" customFormat="1" ht="14.25" customHeight="1" x14ac:dyDescent="0.25">
      <c r="B680"/>
      <c r="C680"/>
      <c r="D680"/>
      <c r="E680"/>
      <c r="F680"/>
      <c r="G680"/>
      <c r="H680"/>
      <c r="I680"/>
      <c r="J680"/>
      <c r="K680"/>
      <c r="L680"/>
      <c r="M680"/>
      <c r="N680"/>
    </row>
    <row r="681" spans="2:14" s="95" customFormat="1" ht="14.25" customHeight="1" x14ac:dyDescent="0.25">
      <c r="B681"/>
      <c r="C681"/>
      <c r="D681"/>
      <c r="E681"/>
      <c r="F681"/>
      <c r="G681"/>
      <c r="H681"/>
      <c r="I681"/>
      <c r="J681"/>
      <c r="K681"/>
      <c r="L681"/>
      <c r="M681"/>
      <c r="N681"/>
    </row>
    <row r="682" spans="2:14" s="95" customFormat="1" ht="14.25" customHeight="1" x14ac:dyDescent="0.25">
      <c r="B682"/>
      <c r="C682"/>
      <c r="D682"/>
      <c r="E682"/>
      <c r="F682"/>
      <c r="G682"/>
      <c r="H682"/>
      <c r="I682"/>
      <c r="J682"/>
      <c r="K682"/>
      <c r="L682"/>
      <c r="M682"/>
      <c r="N682"/>
    </row>
    <row r="683" spans="2:14" s="95" customFormat="1" ht="14.25" customHeight="1" x14ac:dyDescent="0.25">
      <c r="B683"/>
      <c r="C683"/>
      <c r="D683"/>
      <c r="E683"/>
      <c r="F683"/>
      <c r="G683"/>
      <c r="H683"/>
      <c r="I683"/>
      <c r="J683"/>
      <c r="K683"/>
      <c r="L683"/>
      <c r="M683"/>
      <c r="N683"/>
    </row>
    <row r="684" spans="2:14" s="95" customFormat="1" ht="14.25" customHeight="1" x14ac:dyDescent="0.25">
      <c r="B684"/>
      <c r="C684"/>
      <c r="D684"/>
      <c r="E684"/>
      <c r="F684"/>
      <c r="G684"/>
      <c r="H684"/>
      <c r="I684"/>
      <c r="J684"/>
      <c r="K684"/>
      <c r="L684"/>
      <c r="M684"/>
      <c r="N684"/>
    </row>
    <row r="685" spans="2:14" s="95" customFormat="1" ht="14.25" customHeight="1" x14ac:dyDescent="0.25">
      <c r="B685"/>
      <c r="C685"/>
      <c r="D685"/>
      <c r="E685"/>
      <c r="F685"/>
      <c r="G685"/>
      <c r="H685"/>
      <c r="I685"/>
      <c r="J685"/>
      <c r="K685"/>
      <c r="L685"/>
      <c r="M685"/>
      <c r="N685"/>
    </row>
    <row r="686" spans="2:14" s="95" customFormat="1" ht="14.25" customHeight="1" x14ac:dyDescent="0.25">
      <c r="B686"/>
      <c r="C686"/>
      <c r="D686"/>
      <c r="E686"/>
      <c r="F686"/>
      <c r="G686"/>
      <c r="H686"/>
      <c r="I686"/>
      <c r="J686"/>
      <c r="K686"/>
      <c r="L686"/>
      <c r="M686"/>
      <c r="N686"/>
    </row>
    <row r="687" spans="2:14" s="95" customFormat="1" ht="14.25" customHeight="1" x14ac:dyDescent="0.25">
      <c r="B687"/>
      <c r="C687"/>
      <c r="D687"/>
      <c r="E687"/>
      <c r="F687"/>
      <c r="G687"/>
      <c r="H687"/>
      <c r="I687"/>
      <c r="J687"/>
      <c r="K687"/>
      <c r="L687"/>
      <c r="M687"/>
      <c r="N687"/>
    </row>
    <row r="688" spans="2:14" s="95" customFormat="1" ht="14.25" customHeight="1" x14ac:dyDescent="0.25">
      <c r="B688"/>
      <c r="C688"/>
      <c r="D688"/>
      <c r="E688"/>
      <c r="F688"/>
      <c r="G688"/>
      <c r="H688"/>
      <c r="I688"/>
      <c r="J688"/>
      <c r="K688"/>
      <c r="L688"/>
      <c r="M688"/>
      <c r="N688"/>
    </row>
    <row r="689" spans="2:14" s="95" customFormat="1" ht="14.25" customHeight="1" x14ac:dyDescent="0.25">
      <c r="B689"/>
      <c r="C689"/>
      <c r="D689"/>
      <c r="E689"/>
      <c r="F689"/>
      <c r="G689"/>
      <c r="H689"/>
      <c r="I689"/>
      <c r="J689"/>
      <c r="K689"/>
      <c r="L689"/>
      <c r="M689"/>
      <c r="N689"/>
    </row>
    <row r="690" spans="2:14" s="95" customFormat="1" ht="14.25" customHeight="1" x14ac:dyDescent="0.25">
      <c r="B690"/>
      <c r="C690"/>
      <c r="D690"/>
      <c r="E690"/>
      <c r="F690"/>
      <c r="G690"/>
      <c r="H690"/>
      <c r="I690"/>
      <c r="J690"/>
      <c r="K690"/>
      <c r="L690"/>
      <c r="M690"/>
      <c r="N690"/>
    </row>
    <row r="691" spans="2:14" s="95" customFormat="1" ht="14.25" customHeight="1" x14ac:dyDescent="0.25">
      <c r="B691"/>
      <c r="C691"/>
      <c r="D691"/>
      <c r="E691"/>
      <c r="F691"/>
      <c r="G691"/>
      <c r="H691"/>
      <c r="I691"/>
      <c r="J691"/>
      <c r="K691"/>
      <c r="L691"/>
      <c r="M691"/>
      <c r="N691"/>
    </row>
    <row r="692" spans="2:14" s="95" customFormat="1" ht="14.25" customHeight="1" x14ac:dyDescent="0.25">
      <c r="B692"/>
      <c r="C692"/>
      <c r="D692"/>
      <c r="E692"/>
      <c r="F692"/>
      <c r="G692"/>
      <c r="H692"/>
      <c r="I692"/>
      <c r="J692"/>
      <c r="K692"/>
      <c r="L692"/>
      <c r="M692"/>
      <c r="N692"/>
    </row>
    <row r="693" spans="2:14" s="95" customFormat="1" ht="14.25" customHeight="1" x14ac:dyDescent="0.25">
      <c r="B693"/>
      <c r="C693"/>
      <c r="D693"/>
      <c r="E693"/>
      <c r="F693"/>
      <c r="G693"/>
      <c r="H693"/>
      <c r="I693"/>
      <c r="J693"/>
      <c r="K693"/>
      <c r="L693"/>
      <c r="M693"/>
      <c r="N693"/>
    </row>
    <row r="694" spans="2:14" s="95" customFormat="1" ht="14.25" customHeight="1" x14ac:dyDescent="0.25">
      <c r="B694"/>
      <c r="C694"/>
      <c r="D694"/>
      <c r="E694"/>
      <c r="F694"/>
      <c r="G694"/>
      <c r="H694"/>
      <c r="I694"/>
      <c r="J694"/>
      <c r="K694"/>
      <c r="L694"/>
      <c r="M694"/>
      <c r="N694"/>
    </row>
    <row r="695" spans="2:14" s="95" customFormat="1" ht="14.25" customHeight="1" x14ac:dyDescent="0.25">
      <c r="B695"/>
      <c r="C695"/>
      <c r="D695"/>
      <c r="E695"/>
      <c r="F695"/>
      <c r="G695"/>
      <c r="H695"/>
      <c r="I695"/>
      <c r="J695"/>
      <c r="K695"/>
      <c r="L695"/>
      <c r="M695"/>
      <c r="N695"/>
    </row>
    <row r="696" spans="2:14" s="95" customFormat="1" ht="14.25" customHeight="1" x14ac:dyDescent="0.25">
      <c r="B696"/>
      <c r="C696"/>
      <c r="D696"/>
      <c r="E696"/>
      <c r="F696"/>
      <c r="G696"/>
      <c r="H696"/>
      <c r="I696"/>
      <c r="J696"/>
      <c r="K696"/>
      <c r="L696"/>
      <c r="M696"/>
      <c r="N696"/>
    </row>
    <row r="697" spans="2:14" s="95" customFormat="1" ht="14.25" customHeight="1" x14ac:dyDescent="0.25">
      <c r="B697"/>
      <c r="C697"/>
      <c r="D697"/>
      <c r="E697"/>
      <c r="F697"/>
      <c r="G697"/>
      <c r="H697"/>
      <c r="I697"/>
      <c r="J697"/>
      <c r="K697"/>
      <c r="L697"/>
      <c r="M697"/>
      <c r="N697"/>
    </row>
    <row r="698" spans="2:14" s="95" customFormat="1" ht="14.25" customHeight="1" x14ac:dyDescent="0.25">
      <c r="B698"/>
      <c r="C698"/>
      <c r="D698"/>
      <c r="E698"/>
      <c r="F698"/>
      <c r="G698"/>
      <c r="H698"/>
      <c r="I698"/>
      <c r="J698"/>
      <c r="K698"/>
      <c r="L698"/>
      <c r="M698"/>
      <c r="N698"/>
    </row>
    <row r="699" spans="2:14" s="95" customFormat="1" ht="14.25" customHeight="1" x14ac:dyDescent="0.25">
      <c r="B699"/>
      <c r="C699"/>
      <c r="D699"/>
      <c r="E699"/>
      <c r="F699"/>
      <c r="G699"/>
      <c r="H699"/>
      <c r="I699"/>
      <c r="J699"/>
      <c r="K699"/>
      <c r="L699"/>
      <c r="M699"/>
      <c r="N699"/>
    </row>
    <row r="700" spans="2:14" s="95" customFormat="1" ht="14.25" customHeight="1" x14ac:dyDescent="0.25">
      <c r="B700"/>
      <c r="C700"/>
      <c r="D700"/>
      <c r="E700"/>
      <c r="F700"/>
      <c r="G700"/>
      <c r="H700"/>
      <c r="I700"/>
      <c r="J700"/>
      <c r="K700"/>
      <c r="L700"/>
      <c r="M700"/>
      <c r="N700"/>
    </row>
    <row r="701" spans="2:14" s="95" customFormat="1" ht="14.25" customHeight="1" x14ac:dyDescent="0.25">
      <c r="B701"/>
      <c r="C701"/>
      <c r="D701"/>
      <c r="E701"/>
      <c r="F701"/>
      <c r="G701"/>
      <c r="H701"/>
      <c r="I701"/>
      <c r="J701"/>
      <c r="K701"/>
      <c r="L701"/>
      <c r="M701"/>
      <c r="N701"/>
    </row>
    <row r="702" spans="2:14" s="95" customFormat="1" ht="14.25" customHeight="1" x14ac:dyDescent="0.25">
      <c r="B702"/>
      <c r="C702"/>
      <c r="D702"/>
      <c r="E702"/>
      <c r="F702"/>
      <c r="G702"/>
      <c r="H702"/>
      <c r="I702"/>
      <c r="J702"/>
      <c r="K702"/>
      <c r="L702"/>
      <c r="M702"/>
      <c r="N702"/>
    </row>
    <row r="703" spans="2:14" s="95" customFormat="1" ht="14.25" customHeight="1" x14ac:dyDescent="0.25">
      <c r="B703"/>
      <c r="C703"/>
      <c r="D703"/>
      <c r="E703"/>
      <c r="F703"/>
      <c r="G703"/>
      <c r="H703"/>
      <c r="I703"/>
      <c r="J703"/>
      <c r="K703"/>
      <c r="L703"/>
      <c r="M703"/>
      <c r="N703"/>
    </row>
    <row r="704" spans="2:14" s="95" customFormat="1" ht="14.25" customHeight="1" x14ac:dyDescent="0.25">
      <c r="B704"/>
      <c r="C704"/>
      <c r="D704"/>
      <c r="E704"/>
      <c r="F704"/>
      <c r="G704"/>
      <c r="H704"/>
      <c r="I704"/>
      <c r="J704"/>
      <c r="K704"/>
      <c r="L704"/>
      <c r="M704"/>
      <c r="N704"/>
    </row>
    <row r="705" spans="2:14" s="95" customFormat="1" ht="14.25" customHeight="1" x14ac:dyDescent="0.25">
      <c r="B705"/>
      <c r="C705"/>
      <c r="D705"/>
      <c r="E705"/>
      <c r="F705"/>
      <c r="G705"/>
      <c r="H705"/>
      <c r="I705"/>
      <c r="J705"/>
      <c r="K705"/>
      <c r="L705"/>
      <c r="M705"/>
      <c r="N705"/>
    </row>
    <row r="706" spans="2:14" s="95" customFormat="1" ht="14.25" customHeight="1" x14ac:dyDescent="0.25">
      <c r="B706"/>
      <c r="C706"/>
      <c r="D706"/>
      <c r="E706"/>
      <c r="F706"/>
      <c r="G706"/>
      <c r="H706"/>
      <c r="I706"/>
      <c r="J706"/>
      <c r="K706"/>
      <c r="L706"/>
      <c r="M706"/>
      <c r="N706"/>
    </row>
    <row r="707" spans="2:14" s="95" customFormat="1" ht="14.25" customHeight="1" x14ac:dyDescent="0.25">
      <c r="B707"/>
      <c r="C707"/>
      <c r="D707"/>
      <c r="E707"/>
      <c r="F707"/>
      <c r="G707"/>
      <c r="H707"/>
      <c r="I707"/>
      <c r="J707"/>
      <c r="K707"/>
      <c r="L707"/>
      <c r="M707"/>
      <c r="N707"/>
    </row>
    <row r="708" spans="2:14" s="95" customFormat="1" ht="14.25" customHeight="1" x14ac:dyDescent="0.25">
      <c r="B708"/>
      <c r="C708"/>
      <c r="D708"/>
      <c r="E708"/>
      <c r="F708"/>
      <c r="G708"/>
      <c r="H708"/>
      <c r="I708"/>
      <c r="J708"/>
      <c r="K708"/>
      <c r="L708"/>
      <c r="M708"/>
      <c r="N708"/>
    </row>
    <row r="709" spans="2:14" s="95" customFormat="1" ht="14.25" customHeight="1" x14ac:dyDescent="0.25">
      <c r="B709"/>
      <c r="C709"/>
      <c r="D709"/>
      <c r="E709"/>
      <c r="F709"/>
      <c r="G709"/>
      <c r="H709"/>
      <c r="I709"/>
      <c r="J709"/>
      <c r="K709"/>
      <c r="L709"/>
      <c r="M709"/>
      <c r="N709"/>
    </row>
    <row r="710" spans="2:14" s="95" customFormat="1" ht="14.25" customHeight="1" x14ac:dyDescent="0.25">
      <c r="B710"/>
      <c r="C710"/>
      <c r="D710"/>
      <c r="E710"/>
      <c r="F710"/>
      <c r="G710"/>
      <c r="H710"/>
      <c r="I710"/>
      <c r="J710"/>
      <c r="K710"/>
      <c r="L710"/>
      <c r="M710"/>
      <c r="N710"/>
    </row>
    <row r="711" spans="2:14" s="95" customFormat="1" ht="14.25" customHeight="1" x14ac:dyDescent="0.25">
      <c r="B711"/>
      <c r="C711"/>
      <c r="D711"/>
      <c r="E711"/>
      <c r="F711"/>
      <c r="G711"/>
      <c r="H711"/>
      <c r="I711"/>
      <c r="J711"/>
      <c r="K711"/>
      <c r="L711"/>
      <c r="M711"/>
      <c r="N711"/>
    </row>
    <row r="712" spans="2:14" s="95" customFormat="1" ht="14.25" customHeight="1" x14ac:dyDescent="0.25">
      <c r="B712"/>
      <c r="C712"/>
      <c r="D712"/>
      <c r="E712"/>
      <c r="F712"/>
      <c r="G712"/>
      <c r="H712"/>
      <c r="I712"/>
      <c r="J712"/>
      <c r="K712"/>
      <c r="L712"/>
      <c r="M712"/>
      <c r="N712"/>
    </row>
    <row r="713" spans="2:14" s="95" customFormat="1" ht="14.25" customHeight="1" x14ac:dyDescent="0.25">
      <c r="B713"/>
      <c r="C713"/>
      <c r="D713"/>
      <c r="E713"/>
      <c r="F713"/>
      <c r="G713"/>
      <c r="H713"/>
      <c r="I713"/>
      <c r="J713"/>
      <c r="K713"/>
      <c r="L713"/>
      <c r="M713"/>
      <c r="N713"/>
    </row>
    <row r="714" spans="2:14" s="95" customFormat="1" ht="14.25" customHeight="1" x14ac:dyDescent="0.25">
      <c r="B714"/>
      <c r="C714"/>
      <c r="D714"/>
      <c r="E714"/>
      <c r="F714"/>
      <c r="G714"/>
      <c r="H714"/>
      <c r="I714"/>
      <c r="J714"/>
      <c r="K714"/>
      <c r="L714"/>
      <c r="M714"/>
      <c r="N714"/>
    </row>
    <row r="715" spans="2:14" s="95" customFormat="1" ht="14.25" customHeight="1" x14ac:dyDescent="0.25">
      <c r="B715"/>
      <c r="C715"/>
      <c r="D715"/>
      <c r="E715"/>
      <c r="F715"/>
      <c r="G715"/>
      <c r="H715"/>
      <c r="I715"/>
      <c r="J715"/>
      <c r="K715"/>
      <c r="L715"/>
      <c r="M715"/>
      <c r="N715"/>
    </row>
    <row r="716" spans="2:14" s="95" customFormat="1" ht="14.25" customHeight="1" x14ac:dyDescent="0.25">
      <c r="B716"/>
      <c r="C716"/>
      <c r="D716"/>
      <c r="E716"/>
      <c r="F716"/>
      <c r="G716"/>
      <c r="H716"/>
      <c r="I716"/>
      <c r="J716"/>
      <c r="K716"/>
      <c r="L716"/>
      <c r="M716"/>
      <c r="N716"/>
    </row>
    <row r="717" spans="2:14" s="95" customFormat="1" ht="14.25" customHeight="1" x14ac:dyDescent="0.25">
      <c r="B717"/>
      <c r="C717"/>
      <c r="D717"/>
      <c r="E717"/>
      <c r="F717"/>
      <c r="G717"/>
      <c r="H717"/>
      <c r="I717"/>
      <c r="J717"/>
      <c r="K717"/>
      <c r="L717"/>
      <c r="M717"/>
      <c r="N717"/>
    </row>
    <row r="718" spans="2:14" s="95" customFormat="1" ht="14.25" customHeight="1" x14ac:dyDescent="0.25">
      <c r="B718"/>
      <c r="C718"/>
      <c r="D718"/>
      <c r="E718"/>
      <c r="F718"/>
      <c r="G718"/>
      <c r="H718"/>
      <c r="I718"/>
      <c r="J718"/>
      <c r="K718"/>
      <c r="L718"/>
      <c r="M718"/>
      <c r="N718"/>
    </row>
    <row r="719" spans="2:14" s="95" customFormat="1" ht="14.25" customHeight="1" x14ac:dyDescent="0.25">
      <c r="B719"/>
      <c r="C719"/>
      <c r="D719"/>
      <c r="E719"/>
      <c r="F719"/>
      <c r="G719"/>
      <c r="H719"/>
      <c r="I719"/>
      <c r="J719"/>
      <c r="K719"/>
      <c r="L719"/>
      <c r="M719"/>
      <c r="N719"/>
    </row>
    <row r="720" spans="2:14" s="95" customFormat="1" ht="14.25" customHeight="1" x14ac:dyDescent="0.25">
      <c r="B720"/>
      <c r="C720"/>
      <c r="D720"/>
      <c r="E720"/>
      <c r="F720"/>
      <c r="G720"/>
      <c r="H720"/>
      <c r="I720"/>
      <c r="J720"/>
      <c r="K720"/>
      <c r="L720"/>
      <c r="M720"/>
      <c r="N720"/>
    </row>
    <row r="721" spans="2:14" s="95" customFormat="1" ht="14.25" customHeight="1" x14ac:dyDescent="0.25">
      <c r="B721"/>
      <c r="C721"/>
      <c r="D721"/>
      <c r="E721"/>
      <c r="F721"/>
      <c r="G721"/>
      <c r="H721"/>
      <c r="I721"/>
      <c r="J721"/>
      <c r="K721"/>
      <c r="L721"/>
      <c r="M721"/>
      <c r="N721"/>
    </row>
    <row r="722" spans="2:14" s="95" customFormat="1" ht="14.25" customHeight="1" x14ac:dyDescent="0.25">
      <c r="B722"/>
      <c r="C722"/>
      <c r="D722"/>
      <c r="E722"/>
      <c r="F722"/>
      <c r="G722"/>
      <c r="H722"/>
      <c r="I722"/>
      <c r="J722"/>
      <c r="K722"/>
      <c r="L722"/>
      <c r="M722"/>
      <c r="N722"/>
    </row>
    <row r="723" spans="2:14" s="95" customFormat="1" ht="14.25" customHeight="1" x14ac:dyDescent="0.25">
      <c r="B723"/>
      <c r="C723"/>
      <c r="D723"/>
      <c r="E723"/>
      <c r="F723"/>
      <c r="G723"/>
      <c r="H723"/>
      <c r="I723"/>
      <c r="J723"/>
      <c r="K723"/>
      <c r="L723"/>
      <c r="M723"/>
      <c r="N723"/>
    </row>
    <row r="724" spans="2:14" s="95" customFormat="1" ht="14.25" customHeight="1" x14ac:dyDescent="0.25">
      <c r="B724"/>
      <c r="C724"/>
      <c r="D724"/>
      <c r="E724"/>
      <c r="F724"/>
      <c r="G724"/>
      <c r="H724"/>
      <c r="I724"/>
      <c r="J724"/>
      <c r="K724"/>
      <c r="L724"/>
      <c r="M724"/>
      <c r="N724"/>
    </row>
    <row r="725" spans="2:14" s="95" customFormat="1" ht="14.25" customHeight="1" x14ac:dyDescent="0.25">
      <c r="B725"/>
      <c r="C725"/>
      <c r="D725"/>
      <c r="E725"/>
      <c r="F725"/>
      <c r="G725"/>
      <c r="H725"/>
      <c r="I725"/>
      <c r="J725"/>
      <c r="K725"/>
      <c r="L725"/>
      <c r="M725"/>
      <c r="N725"/>
    </row>
    <row r="726" spans="2:14" s="95" customFormat="1" ht="14.25" customHeight="1" x14ac:dyDescent="0.25">
      <c r="B726"/>
      <c r="C726"/>
      <c r="D726"/>
      <c r="E726"/>
      <c r="F726"/>
      <c r="G726"/>
      <c r="H726"/>
      <c r="I726"/>
      <c r="J726"/>
      <c r="K726"/>
      <c r="L726"/>
      <c r="M726"/>
      <c r="N726"/>
    </row>
    <row r="727" spans="2:14" s="95" customFormat="1" ht="14.25" customHeight="1" x14ac:dyDescent="0.25">
      <c r="B727"/>
      <c r="C727"/>
      <c r="D727"/>
      <c r="E727"/>
      <c r="F727"/>
      <c r="G727"/>
      <c r="H727"/>
      <c r="I727"/>
      <c r="J727"/>
      <c r="K727"/>
      <c r="L727"/>
      <c r="M727"/>
      <c r="N727"/>
    </row>
    <row r="728" spans="2:14" s="95" customFormat="1" ht="14.25" customHeight="1" x14ac:dyDescent="0.25">
      <c r="B728"/>
      <c r="C728"/>
      <c r="D728"/>
      <c r="E728"/>
      <c r="F728"/>
      <c r="G728"/>
      <c r="H728"/>
      <c r="I728"/>
      <c r="J728"/>
      <c r="K728"/>
      <c r="L728"/>
      <c r="M728"/>
      <c r="N728"/>
    </row>
    <row r="729" spans="2:14" s="95" customFormat="1" ht="14.25" customHeight="1" x14ac:dyDescent="0.25">
      <c r="B729"/>
      <c r="C729"/>
      <c r="D729"/>
      <c r="E729"/>
      <c r="F729"/>
      <c r="G729"/>
      <c r="H729"/>
      <c r="I729"/>
      <c r="J729"/>
      <c r="K729"/>
      <c r="L729"/>
      <c r="M729"/>
      <c r="N729"/>
    </row>
    <row r="730" spans="2:14" s="95" customFormat="1" ht="14.25" customHeight="1" x14ac:dyDescent="0.25">
      <c r="B730"/>
      <c r="C730"/>
      <c r="D730"/>
      <c r="E730"/>
      <c r="F730"/>
      <c r="G730"/>
      <c r="H730"/>
      <c r="I730"/>
      <c r="J730"/>
      <c r="K730"/>
      <c r="L730"/>
      <c r="M730"/>
      <c r="N730"/>
    </row>
    <row r="731" spans="2:14" s="95" customFormat="1" ht="14.25" customHeight="1" x14ac:dyDescent="0.25">
      <c r="B731"/>
      <c r="C731"/>
      <c r="D731"/>
      <c r="E731"/>
      <c r="F731"/>
      <c r="G731"/>
      <c r="H731"/>
      <c r="I731"/>
      <c r="J731"/>
      <c r="K731"/>
      <c r="L731"/>
      <c r="M731"/>
      <c r="N731"/>
    </row>
    <row r="732" spans="2:14" s="95" customFormat="1" ht="14.25" customHeight="1" x14ac:dyDescent="0.25">
      <c r="B732"/>
      <c r="C732"/>
      <c r="D732"/>
      <c r="E732"/>
      <c r="F732"/>
      <c r="G732"/>
      <c r="H732"/>
      <c r="I732"/>
      <c r="J732"/>
      <c r="K732"/>
      <c r="L732"/>
      <c r="M732"/>
      <c r="N732"/>
    </row>
    <row r="733" spans="2:14" s="95" customFormat="1" ht="14.25" customHeight="1" x14ac:dyDescent="0.25">
      <c r="B733"/>
      <c r="C733"/>
      <c r="D733"/>
      <c r="E733"/>
      <c r="F733"/>
      <c r="G733"/>
      <c r="H733"/>
      <c r="I733"/>
      <c r="J733"/>
      <c r="K733"/>
      <c r="L733"/>
      <c r="M733"/>
      <c r="N733"/>
    </row>
    <row r="734" spans="2:14" s="95" customFormat="1" ht="14.25" customHeight="1" x14ac:dyDescent="0.25">
      <c r="B734"/>
      <c r="C734"/>
      <c r="D734"/>
      <c r="E734"/>
      <c r="F734"/>
      <c r="G734"/>
      <c r="H734"/>
      <c r="I734"/>
      <c r="J734"/>
      <c r="K734"/>
      <c r="L734"/>
      <c r="M734"/>
      <c r="N734"/>
    </row>
    <row r="735" spans="2:14" s="95" customFormat="1" ht="14.25" customHeight="1" x14ac:dyDescent="0.25">
      <c r="B735"/>
      <c r="C735"/>
      <c r="D735"/>
      <c r="E735"/>
      <c r="F735"/>
      <c r="G735"/>
      <c r="H735"/>
      <c r="I735"/>
      <c r="J735"/>
      <c r="K735"/>
      <c r="L735"/>
      <c r="M735"/>
      <c r="N735"/>
    </row>
    <row r="736" spans="2:14" s="95" customFormat="1" ht="14.25" customHeight="1" x14ac:dyDescent="0.25">
      <c r="B736"/>
      <c r="C736"/>
      <c r="D736"/>
      <c r="E736"/>
      <c r="F736"/>
      <c r="G736"/>
      <c r="H736"/>
      <c r="I736"/>
      <c r="J736"/>
      <c r="K736"/>
      <c r="L736"/>
      <c r="M736"/>
      <c r="N736"/>
    </row>
    <row r="737" spans="2:14" s="95" customFormat="1" ht="14.25" customHeight="1" x14ac:dyDescent="0.25">
      <c r="B737"/>
      <c r="C737"/>
      <c r="D737"/>
      <c r="E737"/>
      <c r="F737"/>
      <c r="G737"/>
      <c r="H737"/>
      <c r="I737"/>
      <c r="J737"/>
      <c r="K737"/>
      <c r="L737"/>
      <c r="M737"/>
      <c r="N737"/>
    </row>
    <row r="738" spans="2:14" s="95" customFormat="1" ht="14.25" customHeight="1" x14ac:dyDescent="0.25">
      <c r="B738"/>
      <c r="C738"/>
      <c r="D738"/>
      <c r="E738"/>
      <c r="F738"/>
      <c r="G738"/>
      <c r="H738"/>
      <c r="I738"/>
      <c r="J738"/>
      <c r="K738"/>
      <c r="L738"/>
      <c r="M738"/>
      <c r="N738"/>
    </row>
    <row r="739" spans="2:14" s="95" customFormat="1" ht="14.25" customHeight="1" x14ac:dyDescent="0.25">
      <c r="B739"/>
      <c r="C739"/>
      <c r="D739"/>
      <c r="E739"/>
      <c r="F739"/>
      <c r="G739"/>
      <c r="H739"/>
      <c r="I739"/>
      <c r="J739"/>
      <c r="K739"/>
      <c r="L739"/>
      <c r="M739"/>
      <c r="N739"/>
    </row>
    <row r="740" spans="2:14" s="95" customFormat="1" ht="14.25" customHeight="1" x14ac:dyDescent="0.25">
      <c r="B740"/>
      <c r="C740"/>
      <c r="D740"/>
      <c r="E740"/>
      <c r="F740"/>
      <c r="G740"/>
      <c r="H740"/>
      <c r="I740"/>
      <c r="J740"/>
      <c r="K740"/>
      <c r="L740"/>
      <c r="M740"/>
      <c r="N740"/>
    </row>
    <row r="741" spans="2:14" s="95" customFormat="1" ht="14.25" customHeight="1" x14ac:dyDescent="0.25">
      <c r="B741"/>
      <c r="C741"/>
      <c r="D741"/>
      <c r="E741"/>
      <c r="F741"/>
      <c r="G741"/>
      <c r="H741"/>
      <c r="I741"/>
      <c r="J741"/>
      <c r="K741"/>
      <c r="L741"/>
      <c r="M741"/>
      <c r="N741"/>
    </row>
    <row r="742" spans="2:14" s="95" customFormat="1" ht="14.25" customHeight="1" x14ac:dyDescent="0.25">
      <c r="B742"/>
      <c r="C742"/>
      <c r="D742"/>
      <c r="E742"/>
      <c r="F742"/>
      <c r="G742"/>
      <c r="H742"/>
      <c r="I742"/>
      <c r="J742"/>
      <c r="K742"/>
      <c r="L742"/>
      <c r="M742"/>
      <c r="N742"/>
    </row>
    <row r="743" spans="2:14" s="95" customFormat="1" ht="14.25" customHeight="1" x14ac:dyDescent="0.25">
      <c r="B743"/>
      <c r="C743"/>
      <c r="D743"/>
      <c r="E743"/>
      <c r="F743"/>
      <c r="G743"/>
      <c r="H743"/>
      <c r="I743"/>
      <c r="J743"/>
      <c r="K743"/>
      <c r="L743"/>
      <c r="M743"/>
      <c r="N743"/>
    </row>
    <row r="744" spans="2:14" s="95" customFormat="1" ht="14.25" customHeight="1" x14ac:dyDescent="0.25">
      <c r="B744"/>
      <c r="C744"/>
      <c r="D744"/>
      <c r="E744"/>
      <c r="F744"/>
      <c r="G744"/>
      <c r="H744"/>
      <c r="I744"/>
      <c r="J744"/>
      <c r="K744"/>
      <c r="L744"/>
      <c r="M744"/>
      <c r="N744"/>
    </row>
    <row r="745" spans="2:14" s="95" customFormat="1" ht="14.25" customHeight="1" x14ac:dyDescent="0.25">
      <c r="B745"/>
      <c r="C745"/>
      <c r="D745"/>
      <c r="E745"/>
      <c r="F745"/>
      <c r="G745"/>
      <c r="H745"/>
      <c r="I745"/>
      <c r="J745"/>
      <c r="K745"/>
      <c r="L745"/>
      <c r="M745"/>
      <c r="N745"/>
    </row>
    <row r="746" spans="2:14" s="95" customFormat="1" ht="14.25" customHeight="1" x14ac:dyDescent="0.25">
      <c r="B746"/>
      <c r="C746"/>
      <c r="D746"/>
      <c r="E746"/>
      <c r="F746"/>
      <c r="G746"/>
      <c r="H746"/>
      <c r="I746"/>
      <c r="J746"/>
      <c r="K746"/>
      <c r="L746"/>
      <c r="M746"/>
      <c r="N746"/>
    </row>
    <row r="747" spans="2:14" s="95" customFormat="1" ht="14.25" customHeight="1" x14ac:dyDescent="0.25">
      <c r="B747"/>
      <c r="C747"/>
      <c r="D747"/>
      <c r="E747"/>
      <c r="F747"/>
      <c r="G747"/>
      <c r="H747"/>
      <c r="I747"/>
      <c r="J747"/>
      <c r="K747"/>
      <c r="L747"/>
      <c r="M747"/>
      <c r="N747"/>
    </row>
    <row r="748" spans="2:14" s="95" customFormat="1" ht="14.25" customHeight="1" x14ac:dyDescent="0.25">
      <c r="B748"/>
      <c r="C748"/>
      <c r="D748"/>
      <c r="E748"/>
      <c r="F748"/>
      <c r="G748"/>
      <c r="H748"/>
      <c r="I748"/>
      <c r="J748"/>
      <c r="K748"/>
      <c r="L748"/>
      <c r="M748"/>
      <c r="N748"/>
    </row>
    <row r="749" spans="2:14" s="95" customFormat="1" ht="14.25" customHeight="1" x14ac:dyDescent="0.25">
      <c r="B749"/>
      <c r="C749"/>
      <c r="D749"/>
      <c r="E749"/>
      <c r="F749"/>
      <c r="G749"/>
      <c r="H749"/>
      <c r="I749"/>
      <c r="J749"/>
      <c r="K749"/>
      <c r="L749"/>
      <c r="M749"/>
      <c r="N749"/>
    </row>
    <row r="750" spans="2:14" s="95" customFormat="1" ht="14.25" customHeight="1" x14ac:dyDescent="0.25">
      <c r="B750"/>
      <c r="C750"/>
      <c r="D750"/>
      <c r="E750"/>
      <c r="F750"/>
      <c r="G750"/>
      <c r="H750"/>
      <c r="I750"/>
      <c r="J750"/>
      <c r="K750"/>
      <c r="L750"/>
      <c r="M750"/>
      <c r="N750"/>
    </row>
    <row r="751" spans="2:14" s="95" customFormat="1" ht="14.25" customHeight="1" x14ac:dyDescent="0.25">
      <c r="B751"/>
      <c r="C751"/>
      <c r="D751"/>
      <c r="E751"/>
      <c r="F751"/>
      <c r="G751"/>
      <c r="H751"/>
      <c r="I751"/>
      <c r="J751"/>
      <c r="K751"/>
      <c r="L751"/>
      <c r="M751"/>
      <c r="N751"/>
    </row>
    <row r="752" spans="2:14" s="95" customFormat="1" ht="14.25" customHeight="1" x14ac:dyDescent="0.25">
      <c r="B752"/>
      <c r="C752"/>
      <c r="D752"/>
      <c r="E752"/>
      <c r="F752"/>
      <c r="G752"/>
      <c r="H752"/>
      <c r="I752"/>
      <c r="J752"/>
      <c r="K752"/>
      <c r="L752"/>
      <c r="M752"/>
      <c r="N752"/>
    </row>
    <row r="753" spans="2:14" s="95" customFormat="1" ht="14.25" customHeight="1" x14ac:dyDescent="0.25">
      <c r="B753"/>
      <c r="C753"/>
      <c r="D753"/>
      <c r="E753"/>
      <c r="F753"/>
      <c r="G753"/>
      <c r="H753"/>
      <c r="I753"/>
      <c r="J753"/>
      <c r="K753"/>
      <c r="L753"/>
      <c r="M753"/>
      <c r="N753"/>
    </row>
    <row r="754" spans="2:14" s="95" customFormat="1" ht="14.25" customHeight="1" x14ac:dyDescent="0.25">
      <c r="B754"/>
      <c r="C754"/>
      <c r="D754"/>
      <c r="E754"/>
      <c r="F754"/>
      <c r="G754"/>
      <c r="H754"/>
      <c r="I754"/>
      <c r="J754"/>
      <c r="K754"/>
      <c r="L754"/>
      <c r="M754"/>
      <c r="N754"/>
    </row>
    <row r="755" spans="2:14" s="95" customFormat="1" ht="14.25" customHeight="1" x14ac:dyDescent="0.25">
      <c r="B755"/>
      <c r="C755"/>
      <c r="D755"/>
      <c r="E755"/>
      <c r="F755"/>
      <c r="G755"/>
      <c r="H755"/>
      <c r="I755"/>
      <c r="J755"/>
      <c r="K755"/>
      <c r="L755"/>
      <c r="M755"/>
      <c r="N755"/>
    </row>
    <row r="756" spans="2:14" s="95" customFormat="1" ht="14.25" customHeight="1" x14ac:dyDescent="0.25">
      <c r="B756"/>
      <c r="C756"/>
      <c r="D756"/>
      <c r="E756"/>
      <c r="F756"/>
      <c r="G756"/>
      <c r="H756"/>
      <c r="I756"/>
      <c r="J756"/>
      <c r="K756"/>
      <c r="L756"/>
      <c r="M756"/>
      <c r="N756"/>
    </row>
    <row r="757" spans="2:14" s="95" customFormat="1" ht="14.25" customHeight="1" x14ac:dyDescent="0.25">
      <c r="B757"/>
      <c r="C757"/>
      <c r="D757"/>
      <c r="E757"/>
      <c r="F757"/>
      <c r="G757"/>
      <c r="H757"/>
      <c r="I757"/>
      <c r="J757"/>
      <c r="K757"/>
      <c r="L757"/>
      <c r="M757"/>
      <c r="N757"/>
    </row>
    <row r="758" spans="2:14" s="95" customFormat="1" ht="14.25" customHeight="1" x14ac:dyDescent="0.25">
      <c r="B758"/>
      <c r="C758"/>
      <c r="D758"/>
      <c r="E758"/>
      <c r="F758"/>
      <c r="G758"/>
      <c r="H758"/>
      <c r="I758"/>
      <c r="J758"/>
      <c r="K758"/>
      <c r="L758"/>
      <c r="M758"/>
      <c r="N758"/>
    </row>
    <row r="759" spans="2:14" s="95" customFormat="1" ht="14.25" customHeight="1" x14ac:dyDescent="0.25">
      <c r="B759"/>
      <c r="C759"/>
      <c r="D759"/>
      <c r="E759"/>
      <c r="F759"/>
      <c r="G759"/>
      <c r="H759"/>
      <c r="I759"/>
      <c r="J759"/>
      <c r="K759"/>
      <c r="L759"/>
      <c r="M759"/>
      <c r="N759"/>
    </row>
    <row r="760" spans="2:14" s="95" customFormat="1" ht="14.25" customHeight="1" x14ac:dyDescent="0.25">
      <c r="B760"/>
      <c r="C760"/>
      <c r="D760"/>
      <c r="E760"/>
      <c r="F760"/>
      <c r="G760"/>
      <c r="H760"/>
      <c r="I760"/>
      <c r="J760"/>
      <c r="K760"/>
      <c r="L760"/>
      <c r="M760"/>
      <c r="N760"/>
    </row>
    <row r="761" spans="2:14" s="95" customFormat="1" ht="14.25" customHeight="1" x14ac:dyDescent="0.25">
      <c r="B761"/>
      <c r="C761"/>
      <c r="D761"/>
      <c r="E761"/>
      <c r="F761"/>
      <c r="G761"/>
      <c r="H761"/>
      <c r="I761"/>
      <c r="J761"/>
      <c r="K761"/>
      <c r="L761"/>
      <c r="M761"/>
      <c r="N761"/>
    </row>
    <row r="762" spans="2:14" s="95" customFormat="1" ht="14.25" customHeight="1" x14ac:dyDescent="0.25">
      <c r="B762"/>
      <c r="C762"/>
      <c r="D762"/>
      <c r="E762"/>
      <c r="F762"/>
      <c r="G762"/>
      <c r="H762"/>
      <c r="I762"/>
      <c r="J762"/>
      <c r="K762"/>
      <c r="L762"/>
      <c r="M762"/>
      <c r="N762"/>
    </row>
    <row r="763" spans="2:14" s="95" customFormat="1" ht="14.25" customHeight="1" x14ac:dyDescent="0.25">
      <c r="B763"/>
      <c r="C763"/>
      <c r="D763"/>
      <c r="E763"/>
      <c r="F763"/>
      <c r="G763"/>
      <c r="H763"/>
      <c r="I763"/>
      <c r="J763"/>
      <c r="K763"/>
      <c r="L763"/>
      <c r="M763"/>
      <c r="N763"/>
    </row>
    <row r="764" spans="2:14" s="95" customFormat="1" ht="14.25" customHeight="1" x14ac:dyDescent="0.25">
      <c r="B764"/>
      <c r="C764"/>
      <c r="D764"/>
      <c r="E764"/>
      <c r="F764"/>
      <c r="G764"/>
      <c r="H764"/>
      <c r="I764"/>
      <c r="J764"/>
      <c r="K764"/>
      <c r="L764"/>
      <c r="M764"/>
      <c r="N764"/>
    </row>
    <row r="765" spans="2:14" s="95" customFormat="1" ht="14.25" customHeight="1" x14ac:dyDescent="0.25">
      <c r="B765"/>
      <c r="C765"/>
      <c r="D765"/>
      <c r="E765"/>
      <c r="F765"/>
      <c r="G765"/>
      <c r="H765"/>
      <c r="I765"/>
      <c r="J765"/>
      <c r="K765"/>
      <c r="L765"/>
      <c r="M765"/>
      <c r="N765"/>
    </row>
    <row r="766" spans="2:14" s="95" customFormat="1" ht="14.25" customHeight="1" x14ac:dyDescent="0.25">
      <c r="B766"/>
      <c r="C766"/>
      <c r="D766"/>
      <c r="E766"/>
      <c r="F766"/>
      <c r="G766"/>
      <c r="H766"/>
      <c r="I766"/>
      <c r="J766"/>
      <c r="K766"/>
      <c r="L766"/>
      <c r="M766"/>
      <c r="N766"/>
    </row>
    <row r="767" spans="2:14" s="95" customFormat="1" ht="14.25" customHeight="1" x14ac:dyDescent="0.25">
      <c r="B767"/>
      <c r="C767"/>
      <c r="D767"/>
      <c r="E767"/>
      <c r="F767"/>
      <c r="G767"/>
      <c r="H767"/>
      <c r="I767"/>
      <c r="J767"/>
      <c r="K767"/>
      <c r="L767"/>
      <c r="M767"/>
      <c r="N767"/>
    </row>
    <row r="768" spans="2:14" s="95" customFormat="1" ht="14.25" customHeight="1" x14ac:dyDescent="0.25">
      <c r="B768"/>
      <c r="C768"/>
      <c r="D768"/>
      <c r="E768"/>
      <c r="F768"/>
      <c r="G768"/>
      <c r="H768"/>
      <c r="I768"/>
      <c r="J768"/>
      <c r="K768"/>
      <c r="L768"/>
      <c r="M768"/>
      <c r="N768"/>
    </row>
    <row r="769" spans="2:14" s="95" customFormat="1" ht="14.25" customHeight="1" x14ac:dyDescent="0.25">
      <c r="B769"/>
      <c r="C769"/>
      <c r="D769"/>
      <c r="E769"/>
      <c r="F769"/>
      <c r="G769"/>
      <c r="H769"/>
      <c r="I769"/>
      <c r="J769"/>
      <c r="K769"/>
      <c r="L769"/>
      <c r="M769"/>
      <c r="N769"/>
    </row>
    <row r="770" spans="2:14" s="95" customFormat="1" ht="14.25" customHeight="1" x14ac:dyDescent="0.25">
      <c r="B770"/>
      <c r="C770"/>
      <c r="D770"/>
      <c r="E770"/>
      <c r="F770"/>
      <c r="G770"/>
      <c r="H770"/>
      <c r="I770"/>
      <c r="J770"/>
      <c r="K770"/>
      <c r="L770"/>
      <c r="M770"/>
      <c r="N770"/>
    </row>
    <row r="771" spans="2:14" s="95" customFormat="1" ht="14.25" customHeight="1" x14ac:dyDescent="0.25">
      <c r="B771"/>
      <c r="C771"/>
      <c r="D771"/>
      <c r="E771"/>
      <c r="F771"/>
      <c r="G771"/>
      <c r="H771"/>
      <c r="I771"/>
      <c r="J771"/>
      <c r="K771"/>
      <c r="L771"/>
      <c r="M771"/>
      <c r="N771"/>
    </row>
    <row r="772" spans="2:14" s="95" customFormat="1" ht="14.25" customHeight="1" x14ac:dyDescent="0.25">
      <c r="B772"/>
      <c r="C772"/>
      <c r="D772"/>
      <c r="E772"/>
      <c r="F772"/>
      <c r="G772"/>
      <c r="H772"/>
      <c r="I772"/>
      <c r="J772"/>
      <c r="K772"/>
      <c r="L772"/>
      <c r="M772"/>
      <c r="N772"/>
    </row>
    <row r="773" spans="2:14" s="95" customFormat="1" ht="14.25" customHeight="1" x14ac:dyDescent="0.25">
      <c r="B773"/>
      <c r="C773"/>
      <c r="D773"/>
      <c r="E773"/>
      <c r="F773"/>
      <c r="G773"/>
      <c r="H773"/>
      <c r="I773"/>
      <c r="J773"/>
      <c r="K773"/>
      <c r="L773"/>
      <c r="M773"/>
      <c r="N773"/>
    </row>
    <row r="774" spans="2:14" s="95" customFormat="1" ht="14.25" customHeight="1" x14ac:dyDescent="0.25">
      <c r="B774"/>
      <c r="C774"/>
      <c r="D774"/>
      <c r="E774"/>
      <c r="F774"/>
      <c r="G774"/>
      <c r="H774"/>
      <c r="I774"/>
      <c r="J774"/>
      <c r="K774"/>
      <c r="L774"/>
      <c r="M774"/>
      <c r="N774"/>
    </row>
    <row r="775" spans="2:14" s="95" customFormat="1" ht="14.25" customHeight="1" x14ac:dyDescent="0.25">
      <c r="B775"/>
      <c r="C775"/>
      <c r="D775"/>
      <c r="E775"/>
      <c r="F775"/>
      <c r="G775"/>
      <c r="H775"/>
      <c r="I775"/>
      <c r="J775"/>
      <c r="K775"/>
      <c r="L775"/>
      <c r="M775"/>
      <c r="N775"/>
    </row>
    <row r="776" spans="2:14" s="95" customFormat="1" ht="14.25" customHeight="1" x14ac:dyDescent="0.25">
      <c r="B776"/>
      <c r="C776"/>
      <c r="D776"/>
      <c r="E776"/>
      <c r="F776"/>
      <c r="G776"/>
      <c r="H776"/>
      <c r="I776"/>
      <c r="J776"/>
      <c r="K776"/>
      <c r="L776"/>
      <c r="M776"/>
      <c r="N776"/>
    </row>
    <row r="777" spans="2:14" s="95" customFormat="1" ht="14.25" customHeight="1" x14ac:dyDescent="0.25">
      <c r="B777"/>
      <c r="C777"/>
      <c r="D777"/>
      <c r="E777"/>
      <c r="F777"/>
      <c r="G777"/>
      <c r="H777"/>
      <c r="I777"/>
      <c r="J777"/>
      <c r="K777"/>
      <c r="L777"/>
      <c r="M777"/>
      <c r="N777"/>
    </row>
    <row r="778" spans="2:14" s="95" customFormat="1" ht="14.25" customHeight="1" x14ac:dyDescent="0.25">
      <c r="B778"/>
      <c r="C778"/>
      <c r="D778"/>
      <c r="E778"/>
      <c r="F778"/>
      <c r="G778"/>
      <c r="H778"/>
      <c r="I778"/>
      <c r="J778"/>
      <c r="K778"/>
      <c r="L778"/>
      <c r="M778"/>
      <c r="N778"/>
    </row>
    <row r="779" spans="2:14" s="95" customFormat="1" ht="14.25" customHeight="1" x14ac:dyDescent="0.25">
      <c r="B779"/>
      <c r="C779"/>
      <c r="D779"/>
      <c r="E779"/>
      <c r="F779"/>
      <c r="G779"/>
      <c r="H779"/>
      <c r="I779"/>
      <c r="J779"/>
      <c r="K779"/>
      <c r="L779"/>
      <c r="M779"/>
      <c r="N779"/>
    </row>
    <row r="780" spans="2:14" s="95" customFormat="1" ht="14.25" customHeight="1" x14ac:dyDescent="0.25">
      <c r="B780"/>
      <c r="C780"/>
      <c r="D780"/>
      <c r="E780"/>
      <c r="F780"/>
      <c r="G780"/>
      <c r="H780"/>
      <c r="I780"/>
      <c r="J780"/>
      <c r="K780"/>
      <c r="L780"/>
      <c r="M780"/>
      <c r="N780"/>
    </row>
    <row r="781" spans="2:14" s="95" customFormat="1" ht="14.25" customHeight="1" x14ac:dyDescent="0.25">
      <c r="B781"/>
      <c r="C781"/>
      <c r="D781"/>
      <c r="E781"/>
      <c r="F781"/>
      <c r="G781"/>
      <c r="H781"/>
      <c r="I781"/>
      <c r="J781"/>
      <c r="K781"/>
      <c r="L781"/>
      <c r="M781"/>
      <c r="N781"/>
    </row>
    <row r="782" spans="2:14" s="95" customFormat="1" ht="14.25" customHeight="1" x14ac:dyDescent="0.25">
      <c r="B782"/>
      <c r="C782"/>
      <c r="D782"/>
      <c r="E782"/>
      <c r="F782"/>
      <c r="G782"/>
      <c r="H782"/>
      <c r="I782"/>
      <c r="J782"/>
      <c r="K782"/>
      <c r="L782"/>
      <c r="M782"/>
      <c r="N782"/>
    </row>
    <row r="783" spans="2:14" s="95" customFormat="1" ht="14.25" customHeight="1" x14ac:dyDescent="0.25">
      <c r="B783"/>
      <c r="C783"/>
      <c r="D783"/>
      <c r="E783"/>
      <c r="F783"/>
      <c r="G783"/>
      <c r="H783"/>
      <c r="I783"/>
      <c r="J783"/>
      <c r="K783"/>
      <c r="L783"/>
      <c r="M783"/>
      <c r="N783"/>
    </row>
    <row r="784" spans="2:14" s="95" customFormat="1" ht="14.25" customHeight="1" x14ac:dyDescent="0.25">
      <c r="B784"/>
      <c r="C784"/>
      <c r="D784"/>
      <c r="E784"/>
      <c r="F784"/>
      <c r="G784"/>
      <c r="H784"/>
      <c r="I784"/>
      <c r="J784"/>
      <c r="K784"/>
      <c r="L784"/>
      <c r="M784"/>
      <c r="N784"/>
    </row>
    <row r="785" spans="2:14" s="95" customFormat="1" ht="14.25" customHeight="1" x14ac:dyDescent="0.25">
      <c r="B785"/>
      <c r="C785"/>
      <c r="D785"/>
      <c r="E785"/>
      <c r="F785"/>
      <c r="G785"/>
      <c r="H785"/>
      <c r="I785"/>
      <c r="J785"/>
      <c r="K785"/>
      <c r="L785"/>
      <c r="M785"/>
      <c r="N785"/>
    </row>
    <row r="786" spans="2:14" s="95" customFormat="1" ht="14.25" customHeight="1" x14ac:dyDescent="0.25">
      <c r="B786"/>
      <c r="C786"/>
      <c r="D786"/>
      <c r="E786"/>
      <c r="F786"/>
      <c r="G786"/>
      <c r="H786"/>
      <c r="I786"/>
      <c r="J786"/>
      <c r="K786"/>
      <c r="L786"/>
      <c r="M786"/>
      <c r="N786"/>
    </row>
    <row r="787" spans="2:14" s="95" customFormat="1" ht="14.25" customHeight="1" x14ac:dyDescent="0.25">
      <c r="B787"/>
      <c r="C787"/>
      <c r="D787"/>
      <c r="E787"/>
      <c r="F787"/>
      <c r="G787"/>
      <c r="H787"/>
      <c r="I787"/>
      <c r="J787"/>
      <c r="K787"/>
      <c r="L787"/>
      <c r="M787"/>
      <c r="N787"/>
    </row>
    <row r="788" spans="2:14" s="95" customFormat="1" ht="14.25" customHeight="1" x14ac:dyDescent="0.25">
      <c r="B788"/>
      <c r="C788"/>
      <c r="D788"/>
      <c r="E788"/>
      <c r="F788"/>
      <c r="G788"/>
      <c r="H788"/>
      <c r="I788"/>
      <c r="J788"/>
      <c r="K788"/>
      <c r="L788"/>
      <c r="M788"/>
      <c r="N788"/>
    </row>
    <row r="789" spans="2:14" s="95" customFormat="1" ht="14.25" customHeight="1" x14ac:dyDescent="0.25">
      <c r="B789"/>
      <c r="C789"/>
      <c r="D789"/>
      <c r="E789"/>
      <c r="F789"/>
      <c r="G789"/>
      <c r="H789"/>
      <c r="I789"/>
      <c r="J789"/>
      <c r="K789"/>
      <c r="L789"/>
      <c r="M789"/>
      <c r="N789"/>
    </row>
    <row r="790" spans="2:14" s="95" customFormat="1" ht="14.25" customHeight="1" x14ac:dyDescent="0.25">
      <c r="B790"/>
      <c r="C790"/>
      <c r="D790"/>
      <c r="E790"/>
      <c r="F790"/>
      <c r="G790"/>
      <c r="H790"/>
      <c r="I790"/>
      <c r="J790"/>
      <c r="K790"/>
      <c r="L790"/>
      <c r="M790"/>
      <c r="N790"/>
    </row>
    <row r="791" spans="2:14" s="95" customFormat="1" ht="14.25" customHeight="1" x14ac:dyDescent="0.25">
      <c r="B791"/>
      <c r="C791"/>
      <c r="D791"/>
      <c r="E791"/>
      <c r="F791"/>
      <c r="G791"/>
      <c r="H791"/>
      <c r="I791"/>
      <c r="J791"/>
      <c r="K791"/>
      <c r="L791"/>
      <c r="M791"/>
      <c r="N791"/>
    </row>
    <row r="792" spans="2:14" s="95" customFormat="1" ht="14.25" customHeight="1" x14ac:dyDescent="0.25">
      <c r="B792"/>
      <c r="C792"/>
      <c r="D792"/>
      <c r="E792"/>
      <c r="F792"/>
      <c r="G792"/>
      <c r="H792"/>
      <c r="I792"/>
      <c r="J792"/>
      <c r="K792"/>
      <c r="L792"/>
      <c r="M792"/>
      <c r="N792"/>
    </row>
    <row r="793" spans="2:14" s="95" customFormat="1" ht="14.25" customHeight="1" x14ac:dyDescent="0.25">
      <c r="B793"/>
      <c r="C793"/>
      <c r="D793"/>
      <c r="E793"/>
      <c r="F793"/>
      <c r="G793"/>
      <c r="H793"/>
      <c r="I793"/>
      <c r="J793"/>
      <c r="K793"/>
      <c r="L793"/>
      <c r="M793"/>
      <c r="N793"/>
    </row>
    <row r="794" spans="2:14" s="95" customFormat="1" ht="14.25" customHeight="1" x14ac:dyDescent="0.25">
      <c r="B794"/>
      <c r="C794"/>
      <c r="D794"/>
      <c r="E794"/>
      <c r="F794"/>
      <c r="G794"/>
      <c r="H794"/>
      <c r="I794"/>
      <c r="J794"/>
      <c r="K794"/>
      <c r="L794"/>
      <c r="M794"/>
      <c r="N794"/>
    </row>
    <row r="795" spans="2:14" s="95" customFormat="1" ht="14.25" customHeight="1" x14ac:dyDescent="0.25">
      <c r="B795"/>
      <c r="C795"/>
      <c r="D795"/>
      <c r="E795"/>
      <c r="F795"/>
      <c r="G795"/>
      <c r="H795"/>
      <c r="I795"/>
      <c r="J795"/>
      <c r="K795"/>
      <c r="L795"/>
      <c r="M795"/>
      <c r="N795"/>
    </row>
    <row r="796" spans="2:14" s="95" customFormat="1" ht="14.25" customHeight="1" x14ac:dyDescent="0.25">
      <c r="B796"/>
      <c r="C796"/>
      <c r="D796"/>
      <c r="E796"/>
      <c r="F796"/>
      <c r="G796"/>
      <c r="H796"/>
      <c r="I796"/>
      <c r="J796"/>
      <c r="K796"/>
      <c r="L796"/>
      <c r="M796"/>
      <c r="N796"/>
    </row>
    <row r="797" spans="2:14" s="95" customFormat="1" ht="14.25" customHeight="1" x14ac:dyDescent="0.25">
      <c r="B797"/>
      <c r="C797"/>
      <c r="D797"/>
      <c r="E797"/>
      <c r="F797"/>
      <c r="G797"/>
      <c r="H797"/>
      <c r="I797"/>
      <c r="J797"/>
      <c r="K797"/>
      <c r="L797"/>
      <c r="M797"/>
      <c r="N797"/>
    </row>
    <row r="798" spans="2:14" s="95" customFormat="1" ht="14.25" customHeight="1" x14ac:dyDescent="0.25">
      <c r="B798"/>
      <c r="C798"/>
      <c r="D798"/>
      <c r="E798"/>
      <c r="F798"/>
      <c r="G798"/>
      <c r="H798"/>
      <c r="I798"/>
      <c r="J798"/>
      <c r="K798"/>
      <c r="L798"/>
      <c r="M798"/>
      <c r="N798"/>
    </row>
    <row r="799" spans="2:14" s="95" customFormat="1" ht="14.25" customHeight="1" x14ac:dyDescent="0.25">
      <c r="B799"/>
      <c r="C799"/>
      <c r="D799"/>
      <c r="E799"/>
      <c r="F799"/>
      <c r="G799"/>
      <c r="H799"/>
      <c r="I799"/>
      <c r="J799"/>
      <c r="K799"/>
      <c r="L799"/>
      <c r="M799"/>
      <c r="N799"/>
    </row>
    <row r="800" spans="2:14" s="95" customFormat="1" ht="14.25" customHeight="1" x14ac:dyDescent="0.25">
      <c r="B800"/>
      <c r="C800"/>
      <c r="D800"/>
      <c r="E800"/>
      <c r="F800"/>
      <c r="G800"/>
      <c r="H800"/>
      <c r="I800"/>
      <c r="J800"/>
      <c r="K800"/>
      <c r="L800"/>
      <c r="M800"/>
      <c r="N800"/>
    </row>
    <row r="801" spans="2:14" s="95" customFormat="1" ht="14.25" customHeight="1" x14ac:dyDescent="0.25">
      <c r="B801"/>
      <c r="C801"/>
      <c r="D801"/>
      <c r="E801"/>
      <c r="F801"/>
      <c r="G801"/>
      <c r="H801"/>
      <c r="I801"/>
      <c r="J801"/>
      <c r="K801"/>
      <c r="L801"/>
      <c r="M801"/>
      <c r="N801"/>
    </row>
    <row r="802" spans="2:14" s="95" customFormat="1" ht="14.25" customHeight="1" x14ac:dyDescent="0.25">
      <c r="B802"/>
      <c r="C802"/>
      <c r="D802"/>
      <c r="E802"/>
      <c r="F802"/>
      <c r="G802"/>
      <c r="H802"/>
      <c r="I802"/>
      <c r="J802"/>
      <c r="K802"/>
      <c r="L802"/>
      <c r="M802"/>
      <c r="N802"/>
    </row>
    <row r="803" spans="2:14" s="95" customFormat="1" ht="14.25" customHeight="1" x14ac:dyDescent="0.25">
      <c r="B803"/>
      <c r="C803"/>
      <c r="D803"/>
      <c r="E803"/>
      <c r="F803"/>
      <c r="G803"/>
      <c r="H803"/>
      <c r="I803"/>
      <c r="J803"/>
      <c r="K803"/>
      <c r="L803"/>
      <c r="M803"/>
      <c r="N803"/>
    </row>
    <row r="804" spans="2:14" s="95" customFormat="1" ht="14.25" customHeight="1" x14ac:dyDescent="0.25">
      <c r="B804"/>
      <c r="C804"/>
      <c r="D804"/>
      <c r="E804"/>
      <c r="F804"/>
      <c r="G804"/>
      <c r="H804"/>
      <c r="I804"/>
      <c r="J804"/>
      <c r="K804"/>
      <c r="L804"/>
      <c r="M804"/>
      <c r="N804"/>
    </row>
    <row r="805" spans="2:14" s="95" customFormat="1" ht="14.25" customHeight="1" x14ac:dyDescent="0.25">
      <c r="B805"/>
      <c r="C805"/>
      <c r="D805"/>
      <c r="E805"/>
      <c r="F805"/>
      <c r="G805"/>
      <c r="H805"/>
      <c r="I805"/>
      <c r="J805"/>
      <c r="K805"/>
      <c r="L805"/>
      <c r="M805"/>
      <c r="N805"/>
    </row>
    <row r="806" spans="2:14" s="95" customFormat="1" ht="14.25" customHeight="1" x14ac:dyDescent="0.25">
      <c r="B806"/>
      <c r="C806"/>
      <c r="D806"/>
      <c r="E806"/>
      <c r="F806"/>
      <c r="G806"/>
      <c r="H806"/>
      <c r="I806"/>
      <c r="J806"/>
      <c r="K806"/>
      <c r="L806"/>
      <c r="M806"/>
      <c r="N806"/>
    </row>
    <row r="807" spans="2:14" s="95" customFormat="1" ht="14.25" customHeight="1" x14ac:dyDescent="0.25">
      <c r="B807"/>
      <c r="C807"/>
      <c r="D807"/>
      <c r="E807"/>
      <c r="F807"/>
      <c r="G807"/>
      <c r="H807"/>
      <c r="I807"/>
      <c r="J807"/>
      <c r="K807"/>
      <c r="L807"/>
      <c r="M807"/>
      <c r="N807"/>
    </row>
    <row r="808" spans="2:14" s="95" customFormat="1" ht="14.25" customHeight="1" x14ac:dyDescent="0.25">
      <c r="B808"/>
      <c r="C808"/>
      <c r="D808"/>
      <c r="E808"/>
      <c r="F808"/>
      <c r="G808"/>
      <c r="H808"/>
      <c r="I808"/>
      <c r="J808"/>
      <c r="K808"/>
      <c r="L808"/>
      <c r="M808"/>
      <c r="N808"/>
    </row>
    <row r="809" spans="2:14" s="95" customFormat="1" ht="14.25" customHeight="1" x14ac:dyDescent="0.25">
      <c r="B809"/>
      <c r="C809"/>
      <c r="D809"/>
      <c r="E809"/>
      <c r="F809"/>
      <c r="G809"/>
      <c r="H809"/>
      <c r="I809"/>
      <c r="J809"/>
      <c r="K809"/>
      <c r="L809"/>
      <c r="M809"/>
      <c r="N809"/>
    </row>
    <row r="810" spans="2:14" s="95" customFormat="1" ht="14.25" customHeight="1" x14ac:dyDescent="0.25">
      <c r="B810"/>
      <c r="C810"/>
      <c r="D810"/>
      <c r="E810"/>
      <c r="F810"/>
      <c r="G810"/>
      <c r="H810"/>
      <c r="I810"/>
      <c r="J810"/>
      <c r="K810"/>
      <c r="L810"/>
      <c r="M810"/>
      <c r="N810"/>
    </row>
    <row r="811" spans="2:14" s="95" customFormat="1" ht="14.25" customHeight="1" x14ac:dyDescent="0.25">
      <c r="B811"/>
      <c r="C811"/>
      <c r="D811"/>
      <c r="E811"/>
      <c r="F811"/>
      <c r="G811"/>
      <c r="H811"/>
      <c r="I811"/>
      <c r="J811"/>
      <c r="K811"/>
      <c r="L811"/>
      <c r="M811"/>
      <c r="N811"/>
    </row>
    <row r="812" spans="2:14" s="95" customFormat="1" ht="14.25" customHeight="1" x14ac:dyDescent="0.25">
      <c r="B812"/>
      <c r="C812"/>
      <c r="D812"/>
      <c r="E812"/>
      <c r="F812"/>
      <c r="G812"/>
      <c r="H812"/>
      <c r="I812"/>
      <c r="J812"/>
      <c r="K812"/>
      <c r="L812"/>
      <c r="M812"/>
      <c r="N812"/>
    </row>
    <row r="813" spans="2:14" s="95" customFormat="1" ht="14.25" customHeight="1" x14ac:dyDescent="0.25">
      <c r="B813"/>
      <c r="C813"/>
      <c r="D813"/>
      <c r="E813"/>
      <c r="F813"/>
      <c r="G813"/>
      <c r="H813"/>
      <c r="I813"/>
      <c r="J813"/>
      <c r="K813"/>
      <c r="L813"/>
      <c r="M813"/>
      <c r="N813"/>
    </row>
    <row r="814" spans="2:14" s="95" customFormat="1" ht="14.25" customHeight="1" x14ac:dyDescent="0.25">
      <c r="B814"/>
      <c r="C814"/>
      <c r="D814"/>
      <c r="E814"/>
      <c r="F814"/>
      <c r="G814"/>
      <c r="H814"/>
      <c r="I814"/>
      <c r="J814"/>
      <c r="K814"/>
      <c r="L814"/>
      <c r="M814"/>
      <c r="N814"/>
    </row>
    <row r="815" spans="2:14" s="95" customFormat="1" ht="14.25" customHeight="1" x14ac:dyDescent="0.25">
      <c r="B815"/>
      <c r="C815"/>
      <c r="D815"/>
      <c r="E815"/>
      <c r="F815"/>
      <c r="G815"/>
      <c r="H815"/>
      <c r="I815"/>
      <c r="J815"/>
      <c r="K815"/>
      <c r="L815"/>
      <c r="M815"/>
      <c r="N815"/>
    </row>
    <row r="816" spans="2:14" s="95" customFormat="1" ht="14.25" customHeight="1" x14ac:dyDescent="0.25">
      <c r="B816"/>
      <c r="C816"/>
      <c r="D816"/>
      <c r="E816"/>
      <c r="F816"/>
      <c r="G816"/>
      <c r="H816"/>
      <c r="I816"/>
      <c r="J816"/>
      <c r="K816"/>
      <c r="L816"/>
      <c r="M816"/>
      <c r="N816"/>
    </row>
    <row r="817" spans="2:14" s="95" customFormat="1" ht="14.25" customHeight="1" x14ac:dyDescent="0.25">
      <c r="B817"/>
      <c r="C817"/>
      <c r="D817"/>
      <c r="E817"/>
      <c r="F817"/>
      <c r="G817"/>
      <c r="H817"/>
      <c r="I817"/>
      <c r="J817"/>
      <c r="K817"/>
      <c r="L817"/>
      <c r="M817"/>
      <c r="N817"/>
    </row>
    <row r="818" spans="2:14" s="95" customFormat="1" ht="14.25" customHeight="1" x14ac:dyDescent="0.25">
      <c r="B818"/>
      <c r="C818"/>
      <c r="D818"/>
      <c r="E818"/>
      <c r="F818"/>
      <c r="G818"/>
      <c r="H818"/>
      <c r="I818"/>
      <c r="J818"/>
      <c r="K818"/>
      <c r="L818"/>
      <c r="M818"/>
      <c r="N818"/>
    </row>
    <row r="819" spans="2:14" s="95" customFormat="1" ht="14.25" customHeight="1" x14ac:dyDescent="0.25">
      <c r="B819"/>
      <c r="C819"/>
      <c r="D819"/>
      <c r="E819"/>
      <c r="F819"/>
      <c r="G819"/>
      <c r="H819"/>
      <c r="I819"/>
      <c r="J819"/>
      <c r="K819"/>
      <c r="L819"/>
      <c r="M819"/>
      <c r="N819"/>
    </row>
    <row r="820" spans="2:14" s="95" customFormat="1" ht="14.25" customHeight="1" x14ac:dyDescent="0.25">
      <c r="B820"/>
      <c r="C820"/>
      <c r="D820"/>
      <c r="E820"/>
      <c r="F820"/>
      <c r="G820"/>
      <c r="H820"/>
      <c r="I820"/>
      <c r="J820"/>
      <c r="K820"/>
      <c r="L820"/>
      <c r="M820"/>
      <c r="N820"/>
    </row>
    <row r="821" spans="2:14" s="95" customFormat="1" ht="14.25" customHeight="1" x14ac:dyDescent="0.25">
      <c r="B821"/>
      <c r="C821"/>
      <c r="D821"/>
      <c r="E821"/>
      <c r="F821"/>
      <c r="G821"/>
      <c r="H821"/>
      <c r="I821"/>
      <c r="J821"/>
      <c r="K821"/>
      <c r="L821"/>
      <c r="M821"/>
      <c r="N821"/>
    </row>
    <row r="822" spans="2:14" s="95" customFormat="1" ht="14.25" customHeight="1" x14ac:dyDescent="0.25">
      <c r="B822"/>
      <c r="C822"/>
      <c r="D822"/>
      <c r="E822"/>
      <c r="F822"/>
      <c r="G822"/>
      <c r="H822"/>
      <c r="I822"/>
      <c r="J822"/>
      <c r="K822"/>
      <c r="L822"/>
      <c r="M822"/>
      <c r="N822"/>
    </row>
    <row r="823" spans="2:14" s="95" customFormat="1" ht="14.25" customHeight="1" x14ac:dyDescent="0.25">
      <c r="B823"/>
      <c r="C823"/>
      <c r="D823"/>
      <c r="E823"/>
      <c r="F823"/>
      <c r="G823"/>
      <c r="H823"/>
      <c r="I823"/>
      <c r="J823"/>
      <c r="K823"/>
      <c r="L823"/>
      <c r="M823"/>
      <c r="N823"/>
    </row>
    <row r="824" spans="2:14" s="95" customFormat="1" ht="14.25" customHeight="1" x14ac:dyDescent="0.25">
      <c r="B824"/>
      <c r="C824"/>
      <c r="D824"/>
      <c r="E824"/>
      <c r="F824"/>
      <c r="G824"/>
      <c r="H824"/>
      <c r="I824"/>
      <c r="J824"/>
      <c r="K824"/>
      <c r="L824"/>
      <c r="M824"/>
      <c r="N824"/>
    </row>
    <row r="825" spans="2:14" s="95" customFormat="1" ht="14.25" customHeight="1" x14ac:dyDescent="0.25">
      <c r="B825"/>
      <c r="C825"/>
      <c r="D825"/>
      <c r="E825"/>
      <c r="F825"/>
      <c r="G825"/>
      <c r="H825"/>
      <c r="I825"/>
      <c r="J825"/>
      <c r="K825"/>
      <c r="L825"/>
      <c r="M825"/>
      <c r="N825"/>
    </row>
    <row r="826" spans="2:14" s="95" customFormat="1" ht="14.25" customHeight="1" x14ac:dyDescent="0.25">
      <c r="B826"/>
      <c r="C826"/>
      <c r="D826"/>
      <c r="E826"/>
      <c r="F826"/>
      <c r="G826"/>
      <c r="H826"/>
      <c r="I826"/>
      <c r="J826"/>
      <c r="K826"/>
      <c r="L826"/>
      <c r="M826"/>
      <c r="N826"/>
    </row>
    <row r="827" spans="2:14" s="95" customFormat="1" ht="14.25" customHeight="1" x14ac:dyDescent="0.25">
      <c r="B827"/>
      <c r="C827"/>
      <c r="D827"/>
      <c r="E827"/>
      <c r="F827"/>
      <c r="G827"/>
      <c r="H827"/>
      <c r="I827"/>
      <c r="J827"/>
      <c r="K827"/>
      <c r="L827"/>
      <c r="M827"/>
      <c r="N827"/>
    </row>
    <row r="828" spans="2:14" s="95" customFormat="1" ht="14.25" customHeight="1" x14ac:dyDescent="0.25">
      <c r="B828"/>
      <c r="C828"/>
      <c r="D828"/>
      <c r="E828"/>
      <c r="F828"/>
      <c r="G828"/>
      <c r="H828"/>
      <c r="I828"/>
      <c r="J828"/>
      <c r="K828"/>
      <c r="L828"/>
      <c r="M828"/>
      <c r="N828"/>
    </row>
    <row r="829" spans="2:14" s="95" customFormat="1" ht="14.25" customHeight="1" x14ac:dyDescent="0.25">
      <c r="B829"/>
      <c r="C829"/>
      <c r="D829"/>
      <c r="E829"/>
      <c r="F829"/>
      <c r="G829"/>
      <c r="H829"/>
      <c r="I829"/>
      <c r="J829"/>
      <c r="K829"/>
      <c r="L829"/>
      <c r="M829"/>
      <c r="N829"/>
    </row>
    <row r="830" spans="2:14" s="95" customFormat="1" ht="14.25" customHeight="1" x14ac:dyDescent="0.25">
      <c r="B830"/>
      <c r="C830"/>
      <c r="D830"/>
      <c r="E830"/>
      <c r="F830"/>
      <c r="G830"/>
      <c r="H830"/>
      <c r="I830"/>
      <c r="J830"/>
      <c r="K830"/>
      <c r="L830"/>
      <c r="M830"/>
      <c r="N830"/>
    </row>
    <row r="831" spans="2:14" s="95" customFormat="1" ht="14.25" customHeight="1" x14ac:dyDescent="0.25">
      <c r="B831"/>
      <c r="C831"/>
      <c r="D831"/>
      <c r="E831"/>
      <c r="F831"/>
      <c r="G831"/>
      <c r="H831"/>
      <c r="I831"/>
      <c r="J831"/>
      <c r="K831"/>
      <c r="L831"/>
      <c r="M831"/>
      <c r="N831"/>
    </row>
    <row r="832" spans="2:14" s="95" customFormat="1" ht="14.25" customHeight="1" x14ac:dyDescent="0.25">
      <c r="B832"/>
      <c r="C832"/>
      <c r="D832"/>
      <c r="E832"/>
      <c r="F832"/>
      <c r="G832"/>
      <c r="H832"/>
      <c r="I832"/>
      <c r="J832"/>
      <c r="K832"/>
      <c r="L832"/>
      <c r="M832"/>
      <c r="N832"/>
    </row>
    <row r="833" spans="2:14" s="95" customFormat="1" ht="14.25" customHeight="1" x14ac:dyDescent="0.25">
      <c r="B833"/>
      <c r="C833"/>
      <c r="D833"/>
      <c r="E833"/>
      <c r="F833"/>
      <c r="G833"/>
      <c r="H833"/>
      <c r="I833"/>
      <c r="J833"/>
      <c r="K833"/>
      <c r="L833"/>
      <c r="M833"/>
      <c r="N833"/>
    </row>
    <row r="834" spans="2:14" s="95" customFormat="1" ht="14.25" customHeight="1" x14ac:dyDescent="0.25">
      <c r="B834"/>
      <c r="C834"/>
      <c r="D834"/>
      <c r="E834"/>
      <c r="F834"/>
      <c r="G834"/>
      <c r="H834"/>
      <c r="I834"/>
      <c r="J834"/>
      <c r="K834"/>
      <c r="L834"/>
      <c r="M834"/>
      <c r="N834"/>
    </row>
    <row r="835" spans="2:14" s="95" customFormat="1" ht="14.25" customHeight="1" x14ac:dyDescent="0.25">
      <c r="B835"/>
      <c r="C835"/>
      <c r="D835"/>
      <c r="E835"/>
      <c r="F835"/>
      <c r="G835"/>
      <c r="H835"/>
      <c r="I835"/>
      <c r="J835"/>
      <c r="K835"/>
      <c r="L835"/>
      <c r="M835"/>
      <c r="N835"/>
    </row>
    <row r="836" spans="2:14" s="95" customFormat="1" ht="14.25" customHeight="1" x14ac:dyDescent="0.25">
      <c r="B836"/>
      <c r="C836"/>
      <c r="D836"/>
      <c r="E836"/>
      <c r="F836"/>
      <c r="G836"/>
      <c r="H836"/>
      <c r="I836"/>
      <c r="J836"/>
      <c r="K836"/>
      <c r="L836"/>
      <c r="M836"/>
      <c r="N836"/>
    </row>
    <row r="837" spans="2:14" s="95" customFormat="1" ht="14.25" customHeight="1" x14ac:dyDescent="0.25">
      <c r="B837"/>
      <c r="C837"/>
      <c r="D837"/>
      <c r="E837"/>
      <c r="F837"/>
      <c r="G837"/>
      <c r="H837"/>
      <c r="I837"/>
      <c r="J837"/>
      <c r="K837"/>
      <c r="L837"/>
      <c r="M837"/>
      <c r="N837"/>
    </row>
    <row r="838" spans="2:14" s="95" customFormat="1" ht="14.25" customHeight="1" x14ac:dyDescent="0.25">
      <c r="B838"/>
      <c r="C838"/>
      <c r="D838"/>
      <c r="E838"/>
      <c r="F838"/>
      <c r="G838"/>
      <c r="H838"/>
      <c r="I838"/>
      <c r="J838"/>
      <c r="K838"/>
      <c r="L838"/>
      <c r="M838"/>
      <c r="N838"/>
    </row>
    <row r="839" spans="2:14" s="95" customFormat="1" ht="14.25" customHeight="1" x14ac:dyDescent="0.25">
      <c r="B839"/>
      <c r="C839"/>
      <c r="D839"/>
      <c r="E839"/>
      <c r="F839"/>
      <c r="G839"/>
      <c r="H839"/>
      <c r="I839"/>
      <c r="J839"/>
      <c r="K839"/>
      <c r="L839"/>
      <c r="M839"/>
      <c r="N839"/>
    </row>
    <row r="840" spans="2:14" s="95" customFormat="1" ht="14.25" customHeight="1" x14ac:dyDescent="0.25">
      <c r="B840"/>
      <c r="C840"/>
      <c r="D840"/>
      <c r="E840"/>
      <c r="F840"/>
      <c r="G840"/>
      <c r="H840"/>
      <c r="I840"/>
      <c r="J840"/>
      <c r="K840"/>
      <c r="L840"/>
      <c r="M840"/>
      <c r="N840"/>
    </row>
    <row r="841" spans="2:14" s="95" customFormat="1" ht="14.25" customHeight="1" x14ac:dyDescent="0.25">
      <c r="B841"/>
      <c r="C841"/>
      <c r="D841"/>
      <c r="E841"/>
      <c r="F841"/>
      <c r="G841"/>
      <c r="H841"/>
      <c r="I841"/>
      <c r="J841"/>
      <c r="K841"/>
      <c r="L841"/>
      <c r="M841"/>
      <c r="N841"/>
    </row>
    <row r="842" spans="2:14" s="95" customFormat="1" ht="14.25" customHeight="1" x14ac:dyDescent="0.25">
      <c r="B842"/>
      <c r="C842"/>
      <c r="D842"/>
      <c r="E842"/>
      <c r="F842"/>
      <c r="G842"/>
      <c r="H842"/>
      <c r="I842"/>
      <c r="J842"/>
      <c r="K842"/>
      <c r="L842"/>
      <c r="M842"/>
      <c r="N842"/>
    </row>
    <row r="843" spans="2:14" s="95" customFormat="1" ht="14.25" customHeight="1" x14ac:dyDescent="0.25">
      <c r="B843"/>
      <c r="C843"/>
      <c r="D843"/>
      <c r="E843"/>
      <c r="F843"/>
      <c r="G843"/>
      <c r="H843"/>
      <c r="I843"/>
      <c r="J843"/>
      <c r="K843"/>
      <c r="L843"/>
      <c r="M843"/>
      <c r="N843"/>
    </row>
    <row r="844" spans="2:14" s="95" customFormat="1" ht="14.25" customHeight="1" x14ac:dyDescent="0.25">
      <c r="B844"/>
      <c r="C844"/>
      <c r="D844"/>
      <c r="E844"/>
      <c r="F844"/>
      <c r="G844"/>
      <c r="H844"/>
      <c r="I844"/>
      <c r="J844"/>
      <c r="K844"/>
      <c r="L844"/>
      <c r="M844"/>
      <c r="N844"/>
    </row>
    <row r="845" spans="2:14" s="95" customFormat="1" ht="14.25" customHeight="1" x14ac:dyDescent="0.25">
      <c r="B845"/>
      <c r="C845"/>
      <c r="D845"/>
      <c r="E845"/>
      <c r="F845"/>
      <c r="G845"/>
      <c r="H845"/>
      <c r="I845"/>
      <c r="J845"/>
      <c r="K845"/>
      <c r="L845"/>
      <c r="M845"/>
      <c r="N845"/>
    </row>
    <row r="846" spans="2:14" s="95" customFormat="1" ht="14.25" customHeight="1" x14ac:dyDescent="0.25">
      <c r="B846"/>
      <c r="C846"/>
      <c r="D846"/>
      <c r="E846"/>
      <c r="F846"/>
      <c r="G846"/>
      <c r="H846"/>
      <c r="I846"/>
      <c r="J846"/>
      <c r="K846"/>
      <c r="L846"/>
      <c r="M846"/>
      <c r="N846"/>
    </row>
    <row r="847" spans="2:14" s="95" customFormat="1" ht="14.25" customHeight="1" x14ac:dyDescent="0.25">
      <c r="B847"/>
      <c r="C847"/>
      <c r="D847"/>
      <c r="E847"/>
      <c r="F847"/>
      <c r="G847"/>
      <c r="H847"/>
      <c r="I847"/>
      <c r="J847"/>
      <c r="K847"/>
      <c r="L847"/>
      <c r="M847"/>
      <c r="N847"/>
    </row>
    <row r="848" spans="2:14" s="95" customFormat="1" ht="14.25" customHeight="1" x14ac:dyDescent="0.25">
      <c r="B848"/>
      <c r="C848"/>
      <c r="D848"/>
      <c r="E848"/>
      <c r="F848"/>
      <c r="G848"/>
      <c r="H848"/>
      <c r="I848"/>
      <c r="J848"/>
      <c r="K848"/>
      <c r="L848"/>
      <c r="M848"/>
      <c r="N848"/>
    </row>
    <row r="849" spans="2:14" s="95" customFormat="1" ht="14.25" customHeight="1" x14ac:dyDescent="0.25">
      <c r="B849"/>
      <c r="C849"/>
      <c r="D849"/>
      <c r="E849"/>
      <c r="F849"/>
      <c r="G849"/>
      <c r="H849"/>
      <c r="I849"/>
      <c r="J849"/>
      <c r="K849"/>
      <c r="L849"/>
      <c r="M849"/>
      <c r="N849"/>
    </row>
    <row r="850" spans="2:14" s="95" customFormat="1" ht="14.25" customHeight="1" x14ac:dyDescent="0.25">
      <c r="B850"/>
      <c r="C850"/>
      <c r="D850"/>
      <c r="E850"/>
      <c r="F850"/>
      <c r="G850"/>
      <c r="H850"/>
      <c r="I850"/>
      <c r="J850"/>
      <c r="K850"/>
      <c r="L850"/>
      <c r="M850"/>
      <c r="N850"/>
    </row>
    <row r="851" spans="2:14" s="95" customFormat="1" ht="14.25" customHeight="1" x14ac:dyDescent="0.25">
      <c r="B851"/>
      <c r="C851"/>
      <c r="D851"/>
      <c r="E851"/>
      <c r="F851"/>
      <c r="G851"/>
      <c r="H851"/>
      <c r="I851"/>
      <c r="J851"/>
      <c r="K851"/>
      <c r="L851"/>
      <c r="M851"/>
      <c r="N851"/>
    </row>
    <row r="852" spans="2:14" s="95" customFormat="1" ht="14.25" customHeight="1" x14ac:dyDescent="0.25">
      <c r="B852"/>
      <c r="C852"/>
      <c r="D852"/>
      <c r="E852"/>
      <c r="F852"/>
      <c r="G852"/>
      <c r="H852"/>
      <c r="I852"/>
      <c r="J852"/>
      <c r="K852"/>
      <c r="L852"/>
      <c r="M852"/>
      <c r="N852"/>
    </row>
    <row r="853" spans="2:14" s="95" customFormat="1" ht="14.25" customHeight="1" x14ac:dyDescent="0.25">
      <c r="B853"/>
      <c r="C853"/>
      <c r="D853"/>
      <c r="E853"/>
      <c r="F853"/>
      <c r="G853"/>
      <c r="H853"/>
      <c r="I853"/>
      <c r="J853"/>
      <c r="K853"/>
      <c r="L853"/>
      <c r="M853"/>
      <c r="N853"/>
    </row>
    <row r="854" spans="2:14" s="95" customFormat="1" ht="14.25" customHeight="1" x14ac:dyDescent="0.25">
      <c r="B854"/>
      <c r="C854"/>
      <c r="D854"/>
      <c r="E854"/>
      <c r="F854"/>
      <c r="G854"/>
      <c r="H854"/>
      <c r="I854"/>
      <c r="J854"/>
      <c r="K854"/>
      <c r="L854"/>
      <c r="M854"/>
      <c r="N854"/>
    </row>
    <row r="855" spans="2:14" s="95" customFormat="1" ht="14.25" customHeight="1" x14ac:dyDescent="0.25">
      <c r="B855"/>
      <c r="C855"/>
      <c r="D855"/>
      <c r="E855"/>
      <c r="F855"/>
      <c r="G855"/>
      <c r="H855"/>
      <c r="I855"/>
      <c r="J855"/>
      <c r="K855"/>
      <c r="L855"/>
      <c r="M855"/>
      <c r="N855"/>
    </row>
    <row r="856" spans="2:14" s="95" customFormat="1" ht="14.25" customHeight="1" x14ac:dyDescent="0.25">
      <c r="B856"/>
      <c r="C856"/>
      <c r="D856"/>
      <c r="E856"/>
      <c r="F856"/>
      <c r="G856"/>
      <c r="H856"/>
      <c r="I856"/>
      <c r="J856"/>
      <c r="K856"/>
      <c r="L856"/>
      <c r="M856"/>
      <c r="N856"/>
    </row>
    <row r="857" spans="2:14" s="95" customFormat="1" ht="14.25" customHeight="1" x14ac:dyDescent="0.25">
      <c r="B857"/>
      <c r="C857"/>
      <c r="D857"/>
      <c r="E857"/>
      <c r="F857"/>
      <c r="G857"/>
      <c r="H857"/>
      <c r="I857"/>
      <c r="J857"/>
      <c r="K857"/>
      <c r="L857"/>
      <c r="M857"/>
      <c r="N857"/>
    </row>
    <row r="858" spans="2:14" s="95" customFormat="1" ht="14.25" customHeight="1" x14ac:dyDescent="0.25">
      <c r="B858"/>
      <c r="C858"/>
      <c r="D858"/>
      <c r="E858"/>
      <c r="F858"/>
      <c r="G858"/>
      <c r="H858"/>
      <c r="I858"/>
      <c r="J858"/>
      <c r="K858"/>
      <c r="L858"/>
      <c r="M858"/>
      <c r="N858"/>
    </row>
    <row r="859" spans="2:14" s="95" customFormat="1" ht="14.25" customHeight="1" x14ac:dyDescent="0.25">
      <c r="B859"/>
      <c r="C859"/>
      <c r="D859"/>
      <c r="E859"/>
      <c r="F859"/>
      <c r="G859"/>
      <c r="H859"/>
      <c r="I859"/>
      <c r="J859"/>
      <c r="K859"/>
      <c r="L859"/>
      <c r="M859"/>
      <c r="N859"/>
    </row>
    <row r="860" spans="2:14" s="95" customFormat="1" ht="14.25" customHeight="1" x14ac:dyDescent="0.25">
      <c r="B860"/>
      <c r="C860"/>
      <c r="D860"/>
      <c r="E860"/>
      <c r="F860"/>
      <c r="G860"/>
      <c r="H860"/>
      <c r="I860"/>
      <c r="J860"/>
      <c r="K860"/>
      <c r="L860"/>
      <c r="M860"/>
      <c r="N860"/>
    </row>
    <row r="861" spans="2:14" s="95" customFormat="1" ht="14.25" customHeight="1" x14ac:dyDescent="0.25">
      <c r="B861"/>
      <c r="C861"/>
      <c r="D861"/>
      <c r="E861"/>
      <c r="F861"/>
      <c r="G861"/>
      <c r="H861"/>
      <c r="I861"/>
      <c r="J861"/>
      <c r="K861"/>
      <c r="L861"/>
      <c r="M861"/>
      <c r="N861"/>
    </row>
    <row r="862" spans="2:14" s="95" customFormat="1" ht="14.25" customHeight="1" x14ac:dyDescent="0.25">
      <c r="B862"/>
      <c r="C862"/>
      <c r="D862"/>
      <c r="E862"/>
      <c r="F862"/>
      <c r="G862"/>
      <c r="H862"/>
      <c r="I862"/>
      <c r="J862"/>
      <c r="K862"/>
      <c r="L862"/>
      <c r="M862"/>
      <c r="N862"/>
    </row>
    <row r="863" spans="2:14" s="95" customFormat="1" ht="14.25" customHeight="1" x14ac:dyDescent="0.25">
      <c r="B863"/>
      <c r="C863"/>
      <c r="D863"/>
      <c r="E863"/>
      <c r="F863"/>
      <c r="G863"/>
      <c r="H863"/>
      <c r="I863"/>
      <c r="J863"/>
      <c r="K863"/>
      <c r="L863"/>
      <c r="M863"/>
      <c r="N863"/>
    </row>
    <row r="864" spans="2:14" s="95" customFormat="1" ht="14.25" customHeight="1" x14ac:dyDescent="0.25">
      <c r="B864"/>
      <c r="C864"/>
      <c r="D864"/>
      <c r="E864"/>
      <c r="F864"/>
      <c r="G864"/>
      <c r="H864"/>
      <c r="I864"/>
      <c r="J864"/>
      <c r="K864"/>
      <c r="L864"/>
      <c r="M864"/>
      <c r="N864"/>
    </row>
    <row r="865" spans="2:14" s="95" customFormat="1" ht="14.25" customHeight="1" x14ac:dyDescent="0.25">
      <c r="B865"/>
      <c r="C865"/>
      <c r="D865"/>
      <c r="E865"/>
      <c r="F865"/>
      <c r="G865"/>
      <c r="H865"/>
      <c r="I865"/>
      <c r="J865"/>
      <c r="K865"/>
      <c r="L865"/>
      <c r="M865"/>
      <c r="N865"/>
    </row>
    <row r="866" spans="2:14" s="95" customFormat="1" ht="14.25" customHeight="1" x14ac:dyDescent="0.25">
      <c r="B866"/>
      <c r="C866"/>
      <c r="D866"/>
      <c r="E866"/>
      <c r="F866"/>
      <c r="G866"/>
      <c r="H866"/>
      <c r="I866"/>
      <c r="J866"/>
      <c r="K866"/>
      <c r="L866"/>
      <c r="M866"/>
      <c r="N866"/>
    </row>
    <row r="867" spans="2:14" s="95" customFormat="1" ht="14.25" customHeight="1" x14ac:dyDescent="0.25">
      <c r="B867"/>
      <c r="C867"/>
      <c r="D867"/>
      <c r="E867"/>
      <c r="F867"/>
      <c r="G867"/>
      <c r="H867"/>
      <c r="I867"/>
      <c r="J867"/>
      <c r="K867"/>
      <c r="L867"/>
      <c r="M867"/>
      <c r="N867"/>
    </row>
    <row r="868" spans="2:14" s="95" customFormat="1" ht="14.25" customHeight="1" x14ac:dyDescent="0.25">
      <c r="B868"/>
      <c r="C868"/>
      <c r="D868"/>
      <c r="E868"/>
      <c r="F868"/>
      <c r="G868"/>
      <c r="H868"/>
      <c r="I868"/>
      <c r="J868"/>
      <c r="K868"/>
      <c r="L868"/>
      <c r="M868"/>
      <c r="N868"/>
    </row>
    <row r="869" spans="2:14" s="95" customFormat="1" ht="14.25" customHeight="1" x14ac:dyDescent="0.25">
      <c r="B869"/>
      <c r="C869"/>
      <c r="D869"/>
      <c r="E869"/>
      <c r="F869"/>
      <c r="G869"/>
      <c r="H869"/>
      <c r="I869"/>
      <c r="J869"/>
      <c r="K869"/>
      <c r="L869"/>
      <c r="M869"/>
      <c r="N869"/>
    </row>
    <row r="870" spans="2:14" s="95" customFormat="1" ht="14.25" customHeight="1" x14ac:dyDescent="0.25">
      <c r="B870"/>
      <c r="C870"/>
      <c r="D870"/>
      <c r="E870"/>
      <c r="F870"/>
      <c r="G870"/>
      <c r="H870"/>
      <c r="I870"/>
      <c r="J870"/>
      <c r="K870"/>
      <c r="L870"/>
      <c r="M870"/>
      <c r="N870"/>
    </row>
    <row r="871" spans="2:14" s="95" customFormat="1" ht="14.25" customHeight="1" x14ac:dyDescent="0.25">
      <c r="B871"/>
      <c r="C871"/>
      <c r="D871"/>
      <c r="E871"/>
      <c r="F871"/>
      <c r="G871"/>
      <c r="H871"/>
      <c r="I871"/>
      <c r="J871"/>
      <c r="K871"/>
      <c r="L871"/>
      <c r="M871"/>
      <c r="N871"/>
    </row>
    <row r="872" spans="2:14" s="95" customFormat="1" ht="14.25" customHeight="1" x14ac:dyDescent="0.25">
      <c r="B872"/>
      <c r="C872"/>
      <c r="D872"/>
      <c r="E872"/>
      <c r="F872"/>
      <c r="G872"/>
      <c r="H872"/>
      <c r="I872"/>
      <c r="J872"/>
      <c r="K872"/>
      <c r="L872"/>
      <c r="M872"/>
      <c r="N872"/>
    </row>
    <row r="873" spans="2:14" s="95" customFormat="1" ht="14.25" customHeight="1" x14ac:dyDescent="0.25">
      <c r="B873"/>
      <c r="C873"/>
      <c r="D873"/>
      <c r="E873"/>
      <c r="F873"/>
      <c r="G873"/>
      <c r="H873"/>
      <c r="I873"/>
      <c r="J873"/>
      <c r="K873"/>
      <c r="L873"/>
      <c r="M873"/>
      <c r="N873"/>
    </row>
    <row r="874" spans="2:14" s="95" customFormat="1" ht="14.25" customHeight="1" x14ac:dyDescent="0.25">
      <c r="B874"/>
      <c r="C874"/>
      <c r="D874"/>
      <c r="E874"/>
      <c r="F874"/>
      <c r="G874"/>
      <c r="H874"/>
      <c r="I874"/>
      <c r="J874"/>
      <c r="K874"/>
      <c r="L874"/>
      <c r="M874"/>
      <c r="N874"/>
    </row>
    <row r="875" spans="2:14" s="95" customFormat="1" ht="14.25" customHeight="1" x14ac:dyDescent="0.25">
      <c r="B875"/>
      <c r="C875"/>
      <c r="D875"/>
      <c r="E875"/>
      <c r="F875"/>
      <c r="G875"/>
      <c r="H875"/>
      <c r="I875"/>
      <c r="J875"/>
      <c r="K875"/>
      <c r="L875"/>
      <c r="M875"/>
      <c r="N875"/>
    </row>
    <row r="876" spans="2:14" s="95" customFormat="1" ht="14.25" customHeight="1" x14ac:dyDescent="0.25">
      <c r="B876"/>
      <c r="C876"/>
      <c r="D876"/>
      <c r="E876"/>
      <c r="F876"/>
      <c r="G876"/>
      <c r="H876"/>
      <c r="I876"/>
      <c r="J876"/>
      <c r="K876"/>
      <c r="L876"/>
      <c r="M876"/>
      <c r="N876"/>
    </row>
    <row r="877" spans="2:14" s="95" customFormat="1" ht="14.25" customHeight="1" x14ac:dyDescent="0.25">
      <c r="B877"/>
      <c r="C877"/>
      <c r="D877"/>
      <c r="E877"/>
      <c r="F877"/>
      <c r="G877"/>
      <c r="H877"/>
      <c r="I877"/>
      <c r="J877"/>
      <c r="K877"/>
      <c r="L877"/>
      <c r="M877"/>
      <c r="N877"/>
    </row>
    <row r="878" spans="2:14" s="95" customFormat="1" ht="14.25" customHeight="1" x14ac:dyDescent="0.25">
      <c r="B878"/>
      <c r="C878"/>
      <c r="D878"/>
      <c r="E878"/>
      <c r="F878"/>
      <c r="G878"/>
      <c r="H878"/>
      <c r="I878"/>
      <c r="J878"/>
      <c r="K878"/>
      <c r="L878"/>
      <c r="M878"/>
      <c r="N878"/>
    </row>
    <row r="879" spans="2:14" s="95" customFormat="1" ht="14.25" customHeight="1" x14ac:dyDescent="0.25">
      <c r="B879"/>
      <c r="C879"/>
      <c r="D879"/>
      <c r="E879"/>
      <c r="F879"/>
      <c r="G879"/>
      <c r="H879"/>
      <c r="I879"/>
      <c r="J879"/>
      <c r="K879"/>
      <c r="L879"/>
      <c r="M879"/>
      <c r="N879"/>
    </row>
    <row r="880" spans="2:14" s="95" customFormat="1" ht="14.25" customHeight="1" x14ac:dyDescent="0.25">
      <c r="B880"/>
      <c r="C880"/>
      <c r="D880"/>
      <c r="E880"/>
      <c r="F880"/>
      <c r="G880"/>
      <c r="H880"/>
      <c r="I880"/>
      <c r="J880"/>
      <c r="K880"/>
      <c r="L880"/>
      <c r="M880"/>
      <c r="N880"/>
    </row>
    <row r="881" spans="2:14" s="95" customFormat="1" ht="14.25" customHeight="1" x14ac:dyDescent="0.25">
      <c r="B881"/>
      <c r="C881"/>
      <c r="D881"/>
      <c r="E881"/>
      <c r="F881"/>
      <c r="G881"/>
      <c r="H881"/>
      <c r="I881"/>
      <c r="J881"/>
      <c r="K881"/>
      <c r="L881"/>
      <c r="M881"/>
      <c r="N881"/>
    </row>
    <row r="882" spans="2:14" s="95" customFormat="1" ht="14.25" customHeight="1" x14ac:dyDescent="0.25">
      <c r="B882"/>
      <c r="C882"/>
      <c r="D882"/>
      <c r="E882"/>
      <c r="F882"/>
      <c r="G882"/>
      <c r="H882"/>
      <c r="I882"/>
      <c r="J882"/>
      <c r="K882"/>
      <c r="L882"/>
      <c r="M882"/>
      <c r="N882"/>
    </row>
    <row r="883" spans="2:14" s="95" customFormat="1" ht="14.25" customHeight="1" x14ac:dyDescent="0.25">
      <c r="B883"/>
      <c r="C883"/>
      <c r="D883"/>
      <c r="E883"/>
      <c r="F883"/>
      <c r="G883"/>
      <c r="H883"/>
      <c r="I883"/>
      <c r="J883"/>
      <c r="K883"/>
      <c r="L883"/>
      <c r="M883"/>
      <c r="N883"/>
    </row>
    <row r="884" spans="2:14" s="95" customFormat="1" ht="14.25" customHeight="1" x14ac:dyDescent="0.25">
      <c r="B884"/>
      <c r="C884"/>
      <c r="D884"/>
      <c r="E884"/>
      <c r="F884"/>
      <c r="G884"/>
      <c r="H884"/>
      <c r="I884"/>
      <c r="J884"/>
      <c r="K884"/>
      <c r="L884"/>
      <c r="M884"/>
      <c r="N884"/>
    </row>
    <row r="885" spans="2:14" s="95" customFormat="1" ht="14.25" customHeight="1" x14ac:dyDescent="0.25">
      <c r="B885"/>
      <c r="C885"/>
      <c r="D885"/>
      <c r="E885"/>
      <c r="F885"/>
      <c r="G885"/>
      <c r="H885"/>
      <c r="I885"/>
      <c r="J885"/>
      <c r="K885"/>
      <c r="L885"/>
      <c r="M885"/>
      <c r="N885"/>
    </row>
    <row r="886" spans="2:14" s="95" customFormat="1" ht="14.25" customHeight="1" x14ac:dyDescent="0.25">
      <c r="B886"/>
      <c r="C886"/>
      <c r="D886"/>
      <c r="E886"/>
      <c r="F886"/>
      <c r="G886"/>
      <c r="H886"/>
      <c r="I886"/>
      <c r="J886"/>
      <c r="K886"/>
      <c r="L886"/>
      <c r="M886"/>
      <c r="N886"/>
    </row>
    <row r="887" spans="2:14" s="95" customFormat="1" ht="14.25" customHeight="1" x14ac:dyDescent="0.25">
      <c r="B887"/>
      <c r="C887"/>
      <c r="D887"/>
      <c r="E887"/>
      <c r="F887"/>
      <c r="G887"/>
      <c r="H887"/>
      <c r="I887"/>
      <c r="J887"/>
      <c r="K887"/>
      <c r="L887"/>
      <c r="M887"/>
      <c r="N887"/>
    </row>
    <row r="888" spans="2:14" s="95" customFormat="1" ht="14.25" customHeight="1" x14ac:dyDescent="0.25">
      <c r="B888"/>
      <c r="C888"/>
      <c r="D888"/>
      <c r="E888"/>
      <c r="F888"/>
      <c r="G888"/>
      <c r="H888"/>
      <c r="I888"/>
      <c r="J888"/>
      <c r="K888"/>
      <c r="L888"/>
      <c r="M888"/>
      <c r="N888"/>
    </row>
    <row r="889" spans="2:14" s="95" customFormat="1" ht="14.25" customHeight="1" x14ac:dyDescent="0.25">
      <c r="B889"/>
      <c r="C889"/>
      <c r="D889"/>
      <c r="E889"/>
      <c r="F889"/>
      <c r="G889"/>
      <c r="H889"/>
      <c r="I889"/>
      <c r="J889"/>
      <c r="K889"/>
      <c r="L889"/>
      <c r="M889"/>
      <c r="N889"/>
    </row>
    <row r="890" spans="2:14" s="95" customFormat="1" ht="14.25" customHeight="1" x14ac:dyDescent="0.25">
      <c r="B890"/>
      <c r="C890"/>
      <c r="D890"/>
      <c r="E890"/>
      <c r="F890"/>
      <c r="G890"/>
      <c r="H890"/>
      <c r="I890"/>
      <c r="J890"/>
      <c r="K890"/>
      <c r="L890"/>
      <c r="M890"/>
      <c r="N890"/>
    </row>
    <row r="891" spans="2:14" s="95" customFormat="1" ht="14.25" customHeight="1" x14ac:dyDescent="0.25">
      <c r="B891"/>
      <c r="C891"/>
      <c r="D891"/>
      <c r="E891"/>
      <c r="F891"/>
      <c r="G891"/>
      <c r="H891"/>
      <c r="I891"/>
      <c r="J891"/>
      <c r="K891"/>
      <c r="L891"/>
      <c r="M891"/>
      <c r="N891"/>
    </row>
    <row r="892" spans="2:14" s="95" customFormat="1" ht="14.25" customHeight="1" x14ac:dyDescent="0.25">
      <c r="B892"/>
      <c r="C892"/>
      <c r="D892"/>
      <c r="E892"/>
      <c r="F892"/>
      <c r="G892"/>
      <c r="H892"/>
      <c r="I892"/>
      <c r="J892"/>
      <c r="K892"/>
      <c r="L892"/>
      <c r="M892"/>
      <c r="N892"/>
    </row>
    <row r="893" spans="2:14" s="95" customFormat="1" ht="14.25" customHeight="1" x14ac:dyDescent="0.25">
      <c r="B893"/>
      <c r="C893"/>
      <c r="D893"/>
      <c r="E893"/>
      <c r="F893"/>
      <c r="G893"/>
      <c r="H893"/>
      <c r="I893"/>
      <c r="J893"/>
      <c r="K893"/>
      <c r="L893"/>
      <c r="M893"/>
      <c r="N893"/>
    </row>
    <row r="894" spans="2:14" s="95" customFormat="1" ht="14.25" customHeight="1" x14ac:dyDescent="0.25">
      <c r="B894"/>
      <c r="C894"/>
      <c r="D894"/>
      <c r="E894"/>
      <c r="F894"/>
      <c r="G894"/>
      <c r="H894"/>
      <c r="I894"/>
      <c r="J894"/>
      <c r="K894"/>
      <c r="L894"/>
      <c r="M894"/>
      <c r="N894"/>
    </row>
    <row r="895" spans="2:14" s="95" customFormat="1" ht="14.25" customHeight="1" x14ac:dyDescent="0.25">
      <c r="B895"/>
      <c r="C895"/>
      <c r="D895"/>
      <c r="E895"/>
      <c r="F895"/>
      <c r="G895"/>
      <c r="H895"/>
      <c r="I895"/>
      <c r="J895"/>
      <c r="K895"/>
      <c r="L895"/>
      <c r="M895"/>
      <c r="N895"/>
    </row>
    <row r="896" spans="2:14" s="95" customFormat="1" ht="14.25" customHeight="1" x14ac:dyDescent="0.25">
      <c r="B896"/>
      <c r="C896"/>
      <c r="D896"/>
      <c r="E896"/>
      <c r="F896"/>
      <c r="G896"/>
      <c r="H896"/>
      <c r="I896"/>
      <c r="J896"/>
      <c r="K896"/>
      <c r="L896"/>
      <c r="M896"/>
      <c r="N896"/>
    </row>
    <row r="897" spans="2:14" s="95" customFormat="1" ht="14.25" customHeight="1" x14ac:dyDescent="0.25">
      <c r="B897"/>
      <c r="C897"/>
      <c r="D897"/>
      <c r="E897"/>
      <c r="F897"/>
      <c r="G897"/>
      <c r="H897"/>
      <c r="I897"/>
      <c r="J897"/>
      <c r="K897"/>
      <c r="L897"/>
      <c r="M897"/>
      <c r="N897"/>
    </row>
    <row r="898" spans="2:14" s="95" customFormat="1" ht="14.25" customHeight="1" x14ac:dyDescent="0.25">
      <c r="B898"/>
      <c r="C898"/>
      <c r="D898"/>
      <c r="E898"/>
      <c r="F898"/>
      <c r="G898"/>
      <c r="H898"/>
      <c r="I898"/>
      <c r="J898"/>
      <c r="K898"/>
      <c r="L898"/>
      <c r="M898"/>
      <c r="N898"/>
    </row>
    <row r="899" spans="2:14" s="95" customFormat="1" ht="14.25" customHeight="1" x14ac:dyDescent="0.25">
      <c r="B899"/>
      <c r="C899"/>
      <c r="D899"/>
      <c r="E899"/>
      <c r="F899"/>
      <c r="G899"/>
      <c r="H899"/>
      <c r="I899"/>
      <c r="J899"/>
      <c r="K899"/>
      <c r="L899"/>
      <c r="M899"/>
      <c r="N899"/>
    </row>
    <row r="900" spans="2:14" s="95" customFormat="1" ht="14.25" customHeight="1" x14ac:dyDescent="0.25">
      <c r="B900"/>
      <c r="C900"/>
      <c r="D900"/>
      <c r="E900"/>
      <c r="F900"/>
      <c r="G900"/>
      <c r="H900"/>
      <c r="I900"/>
      <c r="J900"/>
      <c r="K900"/>
      <c r="L900"/>
      <c r="M900"/>
      <c r="N900"/>
    </row>
    <row r="901" spans="2:14" s="95" customFormat="1" ht="14.25" customHeight="1" x14ac:dyDescent="0.25">
      <c r="B901"/>
      <c r="C901"/>
      <c r="D901"/>
      <c r="E901"/>
      <c r="F901"/>
      <c r="G901"/>
      <c r="H901"/>
      <c r="I901"/>
      <c r="J901"/>
      <c r="K901"/>
      <c r="L901"/>
      <c r="M901"/>
      <c r="N901"/>
    </row>
    <row r="902" spans="2:14" s="95" customFormat="1" ht="14.25" customHeight="1" x14ac:dyDescent="0.25">
      <c r="B902"/>
      <c r="C902"/>
      <c r="D902"/>
      <c r="E902"/>
      <c r="F902"/>
      <c r="G902"/>
      <c r="H902"/>
      <c r="I902"/>
      <c r="J902"/>
      <c r="K902"/>
      <c r="L902"/>
      <c r="M902"/>
      <c r="N902"/>
    </row>
    <row r="903" spans="2:14" s="95" customFormat="1" ht="14.25" customHeight="1" x14ac:dyDescent="0.25">
      <c r="B903"/>
      <c r="C903"/>
      <c r="D903"/>
      <c r="E903"/>
      <c r="F903"/>
      <c r="G903"/>
      <c r="H903"/>
      <c r="I903"/>
      <c r="J903"/>
      <c r="K903"/>
      <c r="L903"/>
      <c r="M903"/>
      <c r="N903"/>
    </row>
    <row r="904" spans="2:14" s="95" customFormat="1" ht="14.25" customHeight="1" x14ac:dyDescent="0.25">
      <c r="B904"/>
      <c r="C904"/>
      <c r="D904"/>
      <c r="E904"/>
      <c r="F904"/>
      <c r="G904"/>
      <c r="H904"/>
      <c r="I904"/>
      <c r="J904"/>
      <c r="K904"/>
      <c r="L904"/>
      <c r="M904"/>
      <c r="N904"/>
    </row>
    <row r="905" spans="2:14" s="95" customFormat="1" ht="14.25" customHeight="1" x14ac:dyDescent="0.25">
      <c r="B905"/>
      <c r="C905"/>
      <c r="D905"/>
      <c r="E905"/>
      <c r="F905"/>
      <c r="G905"/>
      <c r="H905"/>
      <c r="I905"/>
      <c r="J905"/>
      <c r="K905"/>
      <c r="L905"/>
      <c r="M905"/>
      <c r="N905"/>
    </row>
    <row r="906" spans="2:14" s="95" customFormat="1" ht="14.25" customHeight="1" x14ac:dyDescent="0.25">
      <c r="B906"/>
      <c r="C906"/>
      <c r="D906"/>
      <c r="E906"/>
      <c r="F906"/>
      <c r="G906"/>
      <c r="H906"/>
      <c r="I906"/>
      <c r="J906"/>
      <c r="K906"/>
      <c r="L906"/>
      <c r="M906"/>
      <c r="N906"/>
    </row>
    <row r="907" spans="2:14" s="95" customFormat="1" ht="14.25" customHeight="1" x14ac:dyDescent="0.25">
      <c r="B907"/>
      <c r="C907"/>
      <c r="D907"/>
      <c r="E907"/>
      <c r="F907"/>
      <c r="G907"/>
      <c r="H907"/>
      <c r="I907"/>
      <c r="J907"/>
      <c r="K907"/>
      <c r="L907"/>
      <c r="M907"/>
      <c r="N907"/>
    </row>
    <row r="908" spans="2:14" s="95" customFormat="1" ht="14.25" customHeight="1" x14ac:dyDescent="0.25">
      <c r="B908"/>
      <c r="C908"/>
      <c r="D908"/>
      <c r="E908"/>
      <c r="F908"/>
      <c r="G908"/>
      <c r="H908"/>
      <c r="I908"/>
      <c r="J908"/>
      <c r="K908"/>
      <c r="L908"/>
      <c r="M908"/>
      <c r="N908"/>
    </row>
    <row r="909" spans="2:14" s="95" customFormat="1" ht="14.25" customHeight="1" x14ac:dyDescent="0.25">
      <c r="B909"/>
      <c r="C909"/>
      <c r="D909"/>
      <c r="E909"/>
      <c r="F909"/>
      <c r="G909"/>
      <c r="H909"/>
      <c r="I909"/>
      <c r="J909"/>
      <c r="K909"/>
      <c r="L909"/>
      <c r="M909"/>
      <c r="N909"/>
    </row>
    <row r="910" spans="2:14" s="95" customFormat="1" ht="14.25" customHeight="1" x14ac:dyDescent="0.25">
      <c r="B910"/>
      <c r="C910"/>
      <c r="D910"/>
      <c r="E910"/>
      <c r="F910"/>
      <c r="G910"/>
      <c r="H910"/>
      <c r="I910"/>
      <c r="J910"/>
      <c r="K910"/>
      <c r="L910"/>
      <c r="M910"/>
      <c r="N910"/>
    </row>
    <row r="911" spans="2:14" s="95" customFormat="1" ht="14.25" customHeight="1" x14ac:dyDescent="0.25">
      <c r="B911"/>
      <c r="C911"/>
      <c r="D911"/>
      <c r="E911"/>
      <c r="F911"/>
      <c r="G911"/>
      <c r="H911"/>
      <c r="I911"/>
      <c r="J911"/>
      <c r="K911"/>
      <c r="L911"/>
      <c r="M911"/>
      <c r="N911"/>
    </row>
    <row r="912" spans="2:14" s="95" customFormat="1" ht="14.25" customHeight="1" x14ac:dyDescent="0.25">
      <c r="B912"/>
      <c r="C912"/>
      <c r="D912"/>
      <c r="E912"/>
      <c r="F912"/>
      <c r="G912"/>
      <c r="H912"/>
      <c r="I912"/>
      <c r="J912"/>
      <c r="K912"/>
      <c r="L912"/>
      <c r="M912"/>
      <c r="N912"/>
    </row>
    <row r="913" spans="2:14" s="95" customFormat="1" ht="14.25" customHeight="1" x14ac:dyDescent="0.25">
      <c r="B913"/>
      <c r="C913"/>
      <c r="D913"/>
      <c r="E913"/>
      <c r="F913"/>
      <c r="G913"/>
      <c r="H913"/>
      <c r="I913"/>
      <c r="J913"/>
      <c r="K913"/>
      <c r="L913"/>
      <c r="M913"/>
      <c r="N913"/>
    </row>
    <row r="914" spans="2:14" s="95" customFormat="1" ht="14.25" customHeight="1" x14ac:dyDescent="0.25">
      <c r="B914"/>
      <c r="C914"/>
      <c r="D914"/>
      <c r="E914"/>
      <c r="F914"/>
      <c r="G914"/>
      <c r="H914"/>
      <c r="I914"/>
      <c r="J914"/>
      <c r="K914"/>
      <c r="L914"/>
      <c r="M914"/>
      <c r="N914"/>
    </row>
    <row r="915" spans="2:14" s="95" customFormat="1" ht="14.25" customHeight="1" x14ac:dyDescent="0.25">
      <c r="B915"/>
      <c r="C915"/>
      <c r="D915"/>
      <c r="E915"/>
      <c r="F915"/>
      <c r="G915"/>
      <c r="H915"/>
      <c r="I915"/>
      <c r="J915"/>
      <c r="K915"/>
      <c r="L915"/>
      <c r="M915"/>
      <c r="N915"/>
    </row>
    <row r="916" spans="2:14" s="95" customFormat="1" ht="14.25" customHeight="1" x14ac:dyDescent="0.25">
      <c r="B916"/>
      <c r="C916"/>
      <c r="D916"/>
      <c r="E916"/>
      <c r="F916"/>
      <c r="G916"/>
      <c r="H916"/>
      <c r="I916"/>
      <c r="J916"/>
      <c r="K916"/>
      <c r="L916"/>
      <c r="M916"/>
      <c r="N916"/>
    </row>
    <row r="917" spans="2:14" s="95" customFormat="1" ht="14.25" customHeight="1" x14ac:dyDescent="0.25">
      <c r="B917"/>
      <c r="C917"/>
      <c r="D917"/>
      <c r="E917"/>
      <c r="F917"/>
      <c r="G917"/>
      <c r="H917"/>
      <c r="I917"/>
      <c r="J917"/>
      <c r="K917"/>
      <c r="L917"/>
      <c r="M917"/>
      <c r="N917"/>
    </row>
    <row r="918" spans="2:14" s="95" customFormat="1" ht="14.25" customHeight="1" x14ac:dyDescent="0.25">
      <c r="B918"/>
      <c r="C918"/>
      <c r="D918"/>
      <c r="E918"/>
      <c r="F918"/>
      <c r="G918"/>
      <c r="H918"/>
      <c r="I918"/>
      <c r="J918"/>
      <c r="K918"/>
      <c r="L918"/>
      <c r="M918"/>
      <c r="N918"/>
    </row>
    <row r="919" spans="2:14" s="95" customFormat="1" ht="14.25" customHeight="1" x14ac:dyDescent="0.25">
      <c r="B919"/>
      <c r="C919"/>
      <c r="D919"/>
      <c r="E919"/>
      <c r="F919"/>
      <c r="G919"/>
      <c r="H919"/>
      <c r="I919"/>
      <c r="J919"/>
      <c r="K919"/>
      <c r="L919"/>
      <c r="M919"/>
      <c r="N919"/>
    </row>
    <row r="920" spans="2:14" s="95" customFormat="1" ht="14.25" customHeight="1" x14ac:dyDescent="0.25">
      <c r="B920"/>
      <c r="C920"/>
      <c r="D920"/>
      <c r="E920"/>
      <c r="F920"/>
      <c r="G920"/>
      <c r="H920"/>
      <c r="I920"/>
      <c r="J920"/>
      <c r="K920"/>
      <c r="L920"/>
      <c r="M920"/>
      <c r="N920"/>
    </row>
    <row r="921" spans="2:14" s="95" customFormat="1" ht="14.25" customHeight="1" x14ac:dyDescent="0.25">
      <c r="B921"/>
      <c r="C921"/>
      <c r="D921"/>
      <c r="E921"/>
      <c r="F921"/>
      <c r="G921"/>
      <c r="H921"/>
      <c r="I921"/>
      <c r="J921"/>
      <c r="K921"/>
      <c r="L921"/>
      <c r="M921"/>
      <c r="N921"/>
    </row>
    <row r="922" spans="2:14" s="95" customFormat="1" ht="14.25" customHeight="1" x14ac:dyDescent="0.25">
      <c r="B922"/>
      <c r="C922"/>
      <c r="D922"/>
      <c r="E922"/>
      <c r="F922"/>
      <c r="G922"/>
      <c r="H922"/>
      <c r="I922"/>
      <c r="J922"/>
      <c r="K922"/>
      <c r="L922"/>
      <c r="M922"/>
      <c r="N922"/>
    </row>
    <row r="923" spans="2:14" s="95" customFormat="1" ht="14.25" customHeight="1" x14ac:dyDescent="0.25">
      <c r="B923"/>
      <c r="C923"/>
      <c r="D923"/>
      <c r="E923"/>
      <c r="F923"/>
      <c r="G923"/>
      <c r="H923"/>
      <c r="I923"/>
      <c r="J923"/>
      <c r="K923"/>
      <c r="L923"/>
      <c r="M923"/>
      <c r="N923"/>
    </row>
    <row r="924" spans="2:14" s="95" customFormat="1" ht="14.25" customHeight="1" x14ac:dyDescent="0.25">
      <c r="B924"/>
      <c r="C924"/>
      <c r="D924"/>
      <c r="E924"/>
      <c r="F924"/>
      <c r="G924"/>
      <c r="H924"/>
      <c r="I924"/>
      <c r="J924"/>
      <c r="K924"/>
      <c r="L924"/>
      <c r="M924"/>
      <c r="N924"/>
    </row>
    <row r="925" spans="2:14" s="95" customFormat="1" ht="14.25" customHeight="1" x14ac:dyDescent="0.25">
      <c r="B925"/>
      <c r="C925"/>
      <c r="D925"/>
      <c r="E925"/>
      <c r="F925"/>
      <c r="G925"/>
      <c r="H925"/>
      <c r="I925"/>
      <c r="J925"/>
      <c r="K925"/>
      <c r="L925"/>
      <c r="M925"/>
      <c r="N925"/>
    </row>
    <row r="926" spans="2:14" s="95" customFormat="1" ht="14.25" customHeight="1" x14ac:dyDescent="0.25">
      <c r="B926"/>
      <c r="C926"/>
      <c r="D926"/>
      <c r="E926"/>
      <c r="F926"/>
      <c r="G926"/>
      <c r="H926"/>
      <c r="I926"/>
      <c r="J926"/>
      <c r="K926"/>
      <c r="L926"/>
      <c r="M926"/>
      <c r="N926"/>
    </row>
    <row r="927" spans="2:14" s="95" customFormat="1" ht="14.25" customHeight="1" x14ac:dyDescent="0.25">
      <c r="B927"/>
      <c r="C927"/>
      <c r="D927"/>
      <c r="E927"/>
      <c r="F927"/>
      <c r="G927"/>
      <c r="H927"/>
      <c r="I927"/>
      <c r="J927"/>
      <c r="K927"/>
      <c r="L927"/>
      <c r="M927"/>
      <c r="N927"/>
    </row>
    <row r="928" spans="2:14" s="95" customFormat="1" ht="14.25" customHeight="1" x14ac:dyDescent="0.25">
      <c r="B928"/>
      <c r="C928"/>
      <c r="D928"/>
      <c r="E928"/>
      <c r="F928"/>
      <c r="G928"/>
      <c r="H928"/>
      <c r="I928"/>
      <c r="J928"/>
      <c r="K928"/>
      <c r="L928"/>
      <c r="M928"/>
      <c r="N928"/>
    </row>
    <row r="929" spans="2:14" s="95" customFormat="1" ht="14.25" customHeight="1" x14ac:dyDescent="0.25">
      <c r="B929"/>
      <c r="C929"/>
      <c r="D929"/>
      <c r="E929"/>
      <c r="F929"/>
      <c r="G929"/>
      <c r="H929"/>
      <c r="I929"/>
      <c r="J929"/>
      <c r="K929"/>
      <c r="L929"/>
      <c r="M929"/>
      <c r="N929"/>
    </row>
    <row r="930" spans="2:14" s="95" customFormat="1" ht="14.25" customHeight="1" x14ac:dyDescent="0.25">
      <c r="B930"/>
      <c r="C930"/>
      <c r="D930"/>
      <c r="E930"/>
      <c r="F930"/>
      <c r="G930"/>
      <c r="H930"/>
      <c r="I930"/>
      <c r="J930"/>
      <c r="K930"/>
      <c r="L930"/>
      <c r="M930"/>
      <c r="N930"/>
    </row>
    <row r="931" spans="2:14" s="95" customFormat="1" ht="14.25" customHeight="1" x14ac:dyDescent="0.25">
      <c r="B931"/>
      <c r="C931"/>
      <c r="D931"/>
      <c r="E931"/>
      <c r="F931"/>
      <c r="G931"/>
      <c r="H931"/>
      <c r="I931"/>
      <c r="J931"/>
      <c r="K931"/>
      <c r="L931"/>
      <c r="M931"/>
      <c r="N931"/>
    </row>
    <row r="932" spans="2:14" s="95" customFormat="1" ht="14.25" customHeight="1" x14ac:dyDescent="0.25">
      <c r="B932"/>
      <c r="C932"/>
      <c r="D932"/>
      <c r="E932"/>
      <c r="F932"/>
      <c r="G932"/>
      <c r="H932"/>
      <c r="I932"/>
      <c r="J932"/>
      <c r="K932"/>
      <c r="L932"/>
      <c r="M932"/>
      <c r="N932"/>
    </row>
    <row r="933" spans="2:14" s="95" customFormat="1" ht="14.25" customHeight="1" x14ac:dyDescent="0.25">
      <c r="B933"/>
      <c r="C933"/>
      <c r="D933"/>
      <c r="E933"/>
      <c r="F933"/>
      <c r="G933"/>
      <c r="H933"/>
      <c r="I933"/>
      <c r="J933"/>
      <c r="K933"/>
      <c r="L933"/>
      <c r="M933"/>
      <c r="N933"/>
    </row>
    <row r="934" spans="2:14" s="95" customFormat="1" ht="14.25" customHeight="1" x14ac:dyDescent="0.25">
      <c r="B934"/>
      <c r="C934"/>
      <c r="D934"/>
      <c r="E934"/>
      <c r="F934"/>
      <c r="G934"/>
      <c r="H934"/>
      <c r="I934"/>
      <c r="J934"/>
      <c r="K934"/>
      <c r="L934"/>
      <c r="M934"/>
      <c r="N934"/>
    </row>
    <row r="935" spans="2:14" s="95" customFormat="1" ht="14.25" customHeight="1" x14ac:dyDescent="0.25">
      <c r="B935"/>
      <c r="C935"/>
      <c r="D935"/>
      <c r="E935"/>
      <c r="F935"/>
      <c r="G935"/>
      <c r="H935"/>
      <c r="I935"/>
      <c r="J935"/>
      <c r="K935"/>
      <c r="L935"/>
      <c r="M935"/>
      <c r="N935"/>
    </row>
    <row r="936" spans="2:14" s="95" customFormat="1" ht="14.25" customHeight="1" x14ac:dyDescent="0.25">
      <c r="B936"/>
      <c r="C936"/>
      <c r="D936"/>
      <c r="E936"/>
      <c r="F936"/>
      <c r="G936"/>
      <c r="H936"/>
      <c r="I936"/>
      <c r="J936"/>
      <c r="K936"/>
      <c r="L936"/>
      <c r="M936"/>
      <c r="N936"/>
    </row>
    <row r="937" spans="2:14" s="95" customFormat="1" ht="14.25" customHeight="1" x14ac:dyDescent="0.25">
      <c r="B937"/>
      <c r="C937"/>
      <c r="D937"/>
      <c r="E937"/>
      <c r="F937"/>
      <c r="G937"/>
      <c r="H937"/>
      <c r="I937"/>
      <c r="J937"/>
      <c r="K937"/>
      <c r="L937"/>
      <c r="M937"/>
      <c r="N937"/>
    </row>
    <row r="938" spans="2:14" s="95" customFormat="1" ht="14.25" customHeight="1" x14ac:dyDescent="0.25">
      <c r="B938"/>
      <c r="C938"/>
      <c r="D938"/>
      <c r="E938"/>
      <c r="F938"/>
      <c r="G938"/>
      <c r="H938"/>
      <c r="I938"/>
      <c r="J938"/>
      <c r="K938"/>
      <c r="L938"/>
      <c r="M938"/>
      <c r="N938"/>
    </row>
    <row r="939" spans="2:14" s="95" customFormat="1" ht="14.25" customHeight="1" x14ac:dyDescent="0.25">
      <c r="B939"/>
      <c r="C939"/>
      <c r="D939"/>
      <c r="E939"/>
      <c r="F939"/>
      <c r="G939"/>
      <c r="H939"/>
      <c r="I939"/>
      <c r="J939"/>
      <c r="K939"/>
      <c r="L939"/>
      <c r="M939"/>
      <c r="N939"/>
    </row>
    <row r="940" spans="2:14" s="95" customFormat="1" ht="14.25" customHeight="1" x14ac:dyDescent="0.25">
      <c r="B940"/>
      <c r="C940"/>
      <c r="D940"/>
      <c r="E940"/>
      <c r="F940"/>
      <c r="G940"/>
      <c r="H940"/>
      <c r="I940"/>
      <c r="J940"/>
      <c r="K940"/>
      <c r="L940"/>
      <c r="M940"/>
      <c r="N940"/>
    </row>
    <row r="941" spans="2:14" s="95" customFormat="1" ht="14.25" customHeight="1" x14ac:dyDescent="0.25">
      <c r="B941"/>
      <c r="C941"/>
      <c r="D941"/>
      <c r="E941"/>
      <c r="F941"/>
      <c r="G941"/>
      <c r="H941"/>
      <c r="I941"/>
      <c r="J941"/>
      <c r="K941"/>
      <c r="L941"/>
      <c r="M941"/>
      <c r="N941"/>
    </row>
    <row r="942" spans="2:14" s="95" customFormat="1" ht="14.25" customHeight="1" x14ac:dyDescent="0.25">
      <c r="B942"/>
      <c r="C942"/>
      <c r="D942"/>
      <c r="E942"/>
      <c r="F942"/>
      <c r="G942"/>
      <c r="H942"/>
      <c r="I942"/>
      <c r="J942"/>
      <c r="K942"/>
      <c r="L942"/>
      <c r="M942"/>
      <c r="N942"/>
    </row>
    <row r="943" spans="2:14" s="95" customFormat="1" ht="14.25" customHeight="1" x14ac:dyDescent="0.25">
      <c r="B943"/>
      <c r="C943"/>
      <c r="D943"/>
      <c r="E943"/>
      <c r="F943"/>
      <c r="G943"/>
      <c r="H943"/>
      <c r="I943"/>
      <c r="J943"/>
      <c r="K943"/>
      <c r="L943"/>
      <c r="M943"/>
      <c r="N943"/>
    </row>
    <row r="944" spans="2:14" s="95" customFormat="1" ht="14.25" customHeight="1" x14ac:dyDescent="0.25">
      <c r="B944"/>
      <c r="C944"/>
      <c r="D944"/>
      <c r="E944"/>
      <c r="F944"/>
      <c r="G944"/>
      <c r="H944"/>
      <c r="I944"/>
      <c r="J944"/>
      <c r="K944"/>
      <c r="L944"/>
      <c r="M944"/>
      <c r="N944"/>
    </row>
    <row r="945" spans="2:14" s="95" customFormat="1" ht="14.25" customHeight="1" x14ac:dyDescent="0.25">
      <c r="B945"/>
      <c r="C945"/>
      <c r="D945"/>
      <c r="E945"/>
      <c r="F945"/>
      <c r="G945"/>
      <c r="H945"/>
      <c r="I945"/>
      <c r="J945"/>
      <c r="K945"/>
      <c r="L945"/>
      <c r="M945"/>
      <c r="N945"/>
    </row>
    <row r="946" spans="2:14" s="95" customFormat="1" ht="14.25" customHeight="1" x14ac:dyDescent="0.25">
      <c r="B946"/>
      <c r="C946"/>
      <c r="D946"/>
      <c r="E946"/>
      <c r="F946"/>
      <c r="G946"/>
      <c r="H946"/>
      <c r="I946"/>
      <c r="J946"/>
      <c r="K946"/>
      <c r="L946"/>
      <c r="M946"/>
      <c r="N946"/>
    </row>
    <row r="947" spans="2:14" s="95" customFormat="1" ht="14.25" customHeight="1" x14ac:dyDescent="0.25">
      <c r="B947"/>
      <c r="C947"/>
      <c r="D947"/>
      <c r="E947"/>
      <c r="F947"/>
      <c r="G947"/>
      <c r="H947"/>
      <c r="I947"/>
      <c r="J947"/>
      <c r="K947"/>
      <c r="L947"/>
      <c r="M947"/>
      <c r="N947"/>
    </row>
    <row r="948" spans="2:14" s="95" customFormat="1" ht="14.25" customHeight="1" x14ac:dyDescent="0.25">
      <c r="B948"/>
      <c r="C948"/>
      <c r="D948"/>
      <c r="E948"/>
      <c r="F948"/>
      <c r="G948"/>
      <c r="H948"/>
      <c r="I948"/>
      <c r="J948"/>
      <c r="K948"/>
      <c r="L948"/>
      <c r="M948"/>
      <c r="N948"/>
    </row>
    <row r="949" spans="2:14" s="95" customFormat="1" ht="14.25" customHeight="1" x14ac:dyDescent="0.25">
      <c r="B949"/>
      <c r="C949"/>
      <c r="D949"/>
      <c r="E949"/>
      <c r="F949"/>
      <c r="G949"/>
      <c r="H949"/>
      <c r="I949"/>
      <c r="J949"/>
      <c r="K949"/>
      <c r="L949"/>
      <c r="M949"/>
      <c r="N949"/>
    </row>
    <row r="950" spans="2:14" s="95" customFormat="1" ht="14.25" customHeight="1" x14ac:dyDescent="0.25">
      <c r="B950"/>
      <c r="C950"/>
      <c r="D950"/>
      <c r="E950"/>
      <c r="F950"/>
      <c r="G950"/>
      <c r="H950"/>
      <c r="I950"/>
      <c r="J950"/>
      <c r="K950"/>
      <c r="L950"/>
      <c r="M950"/>
      <c r="N950"/>
    </row>
    <row r="951" spans="2:14" s="95" customFormat="1" ht="14.25" customHeight="1" x14ac:dyDescent="0.25">
      <c r="B951"/>
      <c r="C951"/>
      <c r="D951"/>
      <c r="E951"/>
      <c r="F951"/>
      <c r="G951"/>
      <c r="H951"/>
      <c r="I951"/>
      <c r="J951"/>
      <c r="K951"/>
      <c r="L951"/>
      <c r="M951"/>
      <c r="N951"/>
    </row>
    <row r="952" spans="2:14" s="95" customFormat="1" ht="14.25" customHeight="1" x14ac:dyDescent="0.25">
      <c r="B952"/>
      <c r="C952"/>
      <c r="D952"/>
      <c r="E952"/>
      <c r="F952"/>
      <c r="G952"/>
      <c r="H952"/>
      <c r="I952"/>
      <c r="J952"/>
      <c r="K952"/>
      <c r="L952"/>
      <c r="M952"/>
      <c r="N952"/>
    </row>
    <row r="953" spans="2:14" s="95" customFormat="1" ht="14.25" customHeight="1" x14ac:dyDescent="0.25">
      <c r="B953"/>
      <c r="C953"/>
      <c r="D953"/>
      <c r="E953"/>
      <c r="F953"/>
      <c r="G953"/>
      <c r="H953"/>
      <c r="I953"/>
      <c r="J953"/>
      <c r="K953"/>
      <c r="L953"/>
      <c r="M953"/>
      <c r="N953"/>
    </row>
    <row r="954" spans="2:14" s="95" customFormat="1" ht="14.25" customHeight="1" x14ac:dyDescent="0.25">
      <c r="B954"/>
      <c r="C954"/>
      <c r="D954"/>
      <c r="E954"/>
      <c r="F954"/>
      <c r="G954"/>
      <c r="H954"/>
      <c r="I954"/>
      <c r="J954"/>
      <c r="K954"/>
      <c r="L954"/>
      <c r="M954"/>
      <c r="N954"/>
    </row>
    <row r="955" spans="2:14" s="95" customFormat="1" ht="14.25" customHeight="1" x14ac:dyDescent="0.25">
      <c r="B955"/>
      <c r="C955"/>
      <c r="D955"/>
      <c r="E955"/>
      <c r="F955"/>
      <c r="G955"/>
      <c r="H955"/>
      <c r="I955"/>
      <c r="J955"/>
      <c r="K955"/>
      <c r="L955"/>
      <c r="M955"/>
      <c r="N955"/>
    </row>
    <row r="956" spans="2:14" s="95" customFormat="1" ht="14.25" customHeight="1" x14ac:dyDescent="0.25">
      <c r="B956"/>
      <c r="C956"/>
      <c r="D956"/>
      <c r="E956"/>
      <c r="F956"/>
      <c r="G956"/>
      <c r="H956"/>
      <c r="I956"/>
      <c r="J956"/>
      <c r="K956"/>
      <c r="L956"/>
      <c r="M956"/>
      <c r="N956"/>
    </row>
    <row r="957" spans="2:14" s="95" customFormat="1" ht="14.25" customHeight="1" x14ac:dyDescent="0.25">
      <c r="B957"/>
      <c r="C957"/>
      <c r="D957"/>
      <c r="E957"/>
      <c r="F957"/>
      <c r="G957"/>
      <c r="H957"/>
      <c r="I957"/>
      <c r="J957"/>
      <c r="K957"/>
      <c r="L957"/>
      <c r="M957"/>
      <c r="N957"/>
    </row>
    <row r="958" spans="2:14" s="95" customFormat="1" ht="14.25" customHeight="1" x14ac:dyDescent="0.25">
      <c r="B958"/>
      <c r="C958"/>
      <c r="D958"/>
      <c r="E958"/>
      <c r="F958"/>
      <c r="G958"/>
      <c r="H958"/>
      <c r="I958"/>
      <c r="J958"/>
      <c r="K958"/>
      <c r="L958"/>
      <c r="M958"/>
      <c r="N958"/>
    </row>
    <row r="959" spans="2:14" s="95" customFormat="1" ht="14.25" customHeight="1" x14ac:dyDescent="0.25">
      <c r="B959"/>
      <c r="C959"/>
      <c r="D959"/>
      <c r="E959"/>
      <c r="F959"/>
      <c r="G959"/>
      <c r="H959"/>
      <c r="I959"/>
      <c r="J959"/>
      <c r="K959"/>
      <c r="L959"/>
      <c r="M959"/>
      <c r="N959"/>
    </row>
    <row r="960" spans="2:14" s="95" customFormat="1" ht="14.25" customHeight="1" x14ac:dyDescent="0.25">
      <c r="B960"/>
      <c r="C960"/>
      <c r="D960"/>
      <c r="E960"/>
      <c r="F960"/>
      <c r="G960"/>
      <c r="H960"/>
      <c r="I960"/>
      <c r="J960"/>
      <c r="K960"/>
      <c r="L960"/>
      <c r="M960"/>
      <c r="N960"/>
    </row>
    <row r="961" spans="2:14" s="95" customFormat="1" ht="14.25" customHeight="1" x14ac:dyDescent="0.25">
      <c r="B961"/>
      <c r="C961"/>
      <c r="D961"/>
      <c r="E961"/>
      <c r="F961"/>
      <c r="G961"/>
      <c r="H961"/>
      <c r="I961"/>
      <c r="J961"/>
      <c r="K961"/>
      <c r="L961"/>
      <c r="M961"/>
      <c r="N961"/>
    </row>
    <row r="962" spans="2:14" s="95" customFormat="1" ht="14.25" customHeight="1" x14ac:dyDescent="0.25">
      <c r="B962"/>
      <c r="C962"/>
      <c r="D962"/>
      <c r="E962"/>
      <c r="F962"/>
      <c r="G962"/>
      <c r="H962"/>
      <c r="I962"/>
      <c r="J962"/>
      <c r="K962"/>
      <c r="L962"/>
      <c r="M962"/>
      <c r="N962"/>
    </row>
    <row r="963" spans="2:14" s="95" customFormat="1" ht="14.25" customHeight="1" x14ac:dyDescent="0.25">
      <c r="B963"/>
      <c r="C963"/>
      <c r="D963"/>
      <c r="E963"/>
      <c r="F963"/>
      <c r="G963"/>
      <c r="H963"/>
      <c r="I963"/>
      <c r="J963"/>
      <c r="K963"/>
      <c r="L963"/>
      <c r="M963"/>
      <c r="N963"/>
    </row>
    <row r="964" spans="2:14" s="95" customFormat="1" ht="14.25" customHeight="1" x14ac:dyDescent="0.25">
      <c r="B964"/>
      <c r="C964"/>
      <c r="D964"/>
      <c r="E964"/>
      <c r="F964"/>
      <c r="G964"/>
      <c r="H964"/>
      <c r="I964"/>
      <c r="J964"/>
      <c r="K964"/>
      <c r="L964"/>
      <c r="M964"/>
      <c r="N964"/>
    </row>
    <row r="965" spans="2:14" s="95" customFormat="1" ht="14.25" customHeight="1" x14ac:dyDescent="0.25">
      <c r="B965"/>
      <c r="C965"/>
      <c r="D965"/>
      <c r="E965"/>
      <c r="F965"/>
      <c r="G965"/>
      <c r="H965"/>
      <c r="I965"/>
      <c r="J965"/>
      <c r="K965"/>
      <c r="L965"/>
      <c r="M965"/>
      <c r="N965"/>
    </row>
    <row r="966" spans="2:14" s="95" customFormat="1" ht="14.25" customHeight="1" x14ac:dyDescent="0.25">
      <c r="B966"/>
      <c r="C966"/>
      <c r="D966"/>
      <c r="E966"/>
      <c r="F966"/>
      <c r="G966"/>
      <c r="H966"/>
      <c r="I966"/>
      <c r="J966"/>
      <c r="K966"/>
      <c r="L966"/>
      <c r="M966"/>
      <c r="N966"/>
    </row>
    <row r="967" spans="2:14" s="95" customFormat="1" ht="14.25" customHeight="1" x14ac:dyDescent="0.25">
      <c r="B967"/>
      <c r="C967"/>
      <c r="D967"/>
      <c r="E967"/>
      <c r="F967"/>
      <c r="G967"/>
      <c r="H967"/>
      <c r="I967"/>
      <c r="J967"/>
      <c r="K967"/>
      <c r="L967"/>
      <c r="M967"/>
      <c r="N967"/>
    </row>
    <row r="968" spans="2:14" s="95" customFormat="1" ht="14.25" customHeight="1" x14ac:dyDescent="0.25">
      <c r="B968"/>
      <c r="C968"/>
      <c r="D968"/>
      <c r="E968"/>
      <c r="F968"/>
      <c r="G968"/>
      <c r="H968"/>
      <c r="I968"/>
      <c r="J968"/>
      <c r="K968"/>
      <c r="L968"/>
      <c r="M968"/>
      <c r="N968"/>
    </row>
    <row r="969" spans="2:14" s="95" customFormat="1" ht="14.25" customHeight="1" x14ac:dyDescent="0.25">
      <c r="B969"/>
      <c r="C969"/>
      <c r="D969"/>
      <c r="E969"/>
      <c r="F969"/>
      <c r="G969"/>
      <c r="H969"/>
      <c r="I969"/>
      <c r="J969"/>
      <c r="K969"/>
      <c r="L969"/>
      <c r="M969"/>
      <c r="N969"/>
    </row>
    <row r="970" spans="2:14" s="95" customFormat="1" ht="14.25" customHeight="1" x14ac:dyDescent="0.25">
      <c r="B970"/>
      <c r="C970"/>
      <c r="D970"/>
      <c r="E970"/>
      <c r="F970"/>
      <c r="G970"/>
      <c r="H970"/>
      <c r="I970"/>
      <c r="J970"/>
      <c r="K970"/>
      <c r="L970"/>
      <c r="M970"/>
      <c r="N970"/>
    </row>
    <row r="971" spans="2:14" s="95" customFormat="1" ht="14.25" customHeight="1" x14ac:dyDescent="0.25">
      <c r="B971"/>
      <c r="C971"/>
      <c r="D971"/>
      <c r="E971"/>
      <c r="F971"/>
      <c r="G971"/>
      <c r="H971"/>
      <c r="I971"/>
      <c r="J971"/>
      <c r="K971"/>
      <c r="L971"/>
      <c r="M971"/>
      <c r="N971"/>
    </row>
    <row r="972" spans="2:14" s="95" customFormat="1" ht="14.25" customHeight="1" x14ac:dyDescent="0.25">
      <c r="B972"/>
      <c r="C972"/>
      <c r="D972"/>
      <c r="E972"/>
      <c r="F972"/>
      <c r="G972"/>
      <c r="H972"/>
      <c r="I972"/>
      <c r="J972"/>
      <c r="K972"/>
      <c r="L972"/>
      <c r="M972"/>
      <c r="N972"/>
    </row>
    <row r="973" spans="2:14" s="95" customFormat="1" ht="14.25" customHeight="1" x14ac:dyDescent="0.25">
      <c r="B973"/>
      <c r="C973"/>
      <c r="D973"/>
      <c r="E973"/>
      <c r="F973"/>
      <c r="G973"/>
      <c r="H973"/>
      <c r="I973"/>
      <c r="J973"/>
      <c r="K973"/>
      <c r="L973"/>
      <c r="M973"/>
      <c r="N973"/>
    </row>
    <row r="974" spans="2:14" s="95" customFormat="1" ht="14.25" customHeight="1" x14ac:dyDescent="0.25">
      <c r="B974"/>
      <c r="C974"/>
      <c r="D974"/>
      <c r="E974"/>
      <c r="F974"/>
      <c r="G974"/>
      <c r="H974"/>
      <c r="I974"/>
      <c r="J974"/>
      <c r="K974"/>
      <c r="L974"/>
      <c r="M974"/>
      <c r="N974"/>
    </row>
    <row r="975" spans="2:14" s="95" customFormat="1" ht="14.25" customHeight="1" x14ac:dyDescent="0.25">
      <c r="B975"/>
      <c r="C975"/>
      <c r="D975"/>
      <c r="E975"/>
      <c r="F975"/>
      <c r="G975"/>
      <c r="H975"/>
      <c r="I975"/>
      <c r="J975"/>
      <c r="K975"/>
      <c r="L975"/>
      <c r="M975"/>
      <c r="N975"/>
    </row>
    <row r="976" spans="2:14" s="95" customFormat="1" ht="14.25" customHeight="1" x14ac:dyDescent="0.25">
      <c r="B976"/>
      <c r="C976"/>
      <c r="D976"/>
      <c r="E976"/>
      <c r="F976"/>
      <c r="G976"/>
      <c r="H976"/>
      <c r="I976"/>
      <c r="J976"/>
      <c r="K976"/>
      <c r="L976"/>
      <c r="M976"/>
      <c r="N976"/>
    </row>
    <row r="977" spans="2:14" s="95" customFormat="1" ht="14.25" customHeight="1" x14ac:dyDescent="0.25">
      <c r="B977"/>
      <c r="C977"/>
      <c r="D977"/>
      <c r="E977"/>
      <c r="F977"/>
      <c r="G977"/>
      <c r="H977"/>
      <c r="I977"/>
      <c r="J977"/>
      <c r="K977"/>
      <c r="L977"/>
      <c r="M977"/>
      <c r="N977"/>
    </row>
    <row r="978" spans="2:14" s="95" customFormat="1" ht="14.25" customHeight="1" x14ac:dyDescent="0.25">
      <c r="B978"/>
      <c r="C978"/>
      <c r="D978"/>
      <c r="E978"/>
      <c r="F978"/>
      <c r="G978"/>
      <c r="H978"/>
      <c r="I978"/>
      <c r="J978"/>
      <c r="K978"/>
      <c r="L978"/>
      <c r="M978"/>
      <c r="N978"/>
    </row>
    <row r="979" spans="2:14" s="95" customFormat="1" ht="14.25" customHeight="1" x14ac:dyDescent="0.25">
      <c r="B979"/>
      <c r="C979"/>
      <c r="D979"/>
      <c r="E979"/>
      <c r="F979"/>
      <c r="G979"/>
      <c r="H979"/>
      <c r="I979"/>
      <c r="J979"/>
      <c r="K979"/>
      <c r="L979"/>
      <c r="M979"/>
      <c r="N979"/>
    </row>
    <row r="980" spans="2:14" s="95" customFormat="1" ht="14.25" customHeight="1" x14ac:dyDescent="0.25">
      <c r="B980"/>
      <c r="C980"/>
      <c r="D980"/>
      <c r="E980"/>
      <c r="F980"/>
      <c r="G980"/>
      <c r="H980"/>
      <c r="I980"/>
      <c r="J980"/>
      <c r="K980"/>
      <c r="L980"/>
      <c r="M980"/>
      <c r="N980"/>
    </row>
    <row r="981" spans="2:14" s="95" customFormat="1" ht="14.25" customHeight="1" x14ac:dyDescent="0.25">
      <c r="B981"/>
      <c r="C981"/>
      <c r="D981"/>
      <c r="E981"/>
      <c r="F981"/>
      <c r="G981"/>
      <c r="H981"/>
      <c r="I981"/>
      <c r="J981"/>
      <c r="K981"/>
      <c r="L981"/>
      <c r="M981"/>
      <c r="N981"/>
    </row>
    <row r="982" spans="2:14" s="95" customFormat="1" ht="14.25" customHeight="1" x14ac:dyDescent="0.25">
      <c r="B982"/>
      <c r="C982"/>
      <c r="D982"/>
      <c r="E982"/>
      <c r="F982"/>
      <c r="G982"/>
      <c r="H982"/>
      <c r="I982"/>
      <c r="J982"/>
      <c r="K982"/>
      <c r="L982"/>
      <c r="M982"/>
      <c r="N982"/>
    </row>
    <row r="983" spans="2:14" s="95" customFormat="1" ht="14.25" customHeight="1" x14ac:dyDescent="0.25">
      <c r="B983"/>
      <c r="C983"/>
      <c r="D983"/>
      <c r="E983"/>
      <c r="F983"/>
      <c r="G983"/>
      <c r="H983"/>
      <c r="I983"/>
      <c r="J983"/>
      <c r="K983"/>
      <c r="L983"/>
      <c r="M983"/>
      <c r="N983"/>
    </row>
    <row r="984" spans="2:14" s="95" customFormat="1" ht="14.25" customHeight="1" x14ac:dyDescent="0.25">
      <c r="B984"/>
      <c r="C984"/>
      <c r="D984"/>
      <c r="E984"/>
      <c r="F984"/>
      <c r="G984"/>
      <c r="H984"/>
      <c r="I984"/>
      <c r="J984"/>
      <c r="K984"/>
      <c r="L984"/>
      <c r="M984"/>
      <c r="N984"/>
    </row>
    <row r="985" spans="2:14" s="95" customFormat="1" ht="14.25" customHeight="1" x14ac:dyDescent="0.25">
      <c r="B985"/>
      <c r="C985"/>
      <c r="D985"/>
      <c r="E985"/>
      <c r="F985"/>
      <c r="G985"/>
      <c r="H985"/>
      <c r="I985"/>
      <c r="J985"/>
      <c r="K985"/>
      <c r="L985"/>
      <c r="M985"/>
      <c r="N985"/>
    </row>
    <row r="986" spans="2:14" s="95" customFormat="1" ht="14.25" customHeight="1" x14ac:dyDescent="0.25">
      <c r="B986"/>
      <c r="C986"/>
      <c r="D986"/>
      <c r="E986"/>
      <c r="F986"/>
      <c r="G986"/>
      <c r="H986"/>
      <c r="I986"/>
      <c r="J986"/>
      <c r="K986"/>
      <c r="L986"/>
      <c r="M986"/>
      <c r="N986"/>
    </row>
    <row r="987" spans="2:14" s="95" customFormat="1" ht="14.25" customHeight="1" x14ac:dyDescent="0.25">
      <c r="B987"/>
      <c r="C987"/>
      <c r="D987"/>
      <c r="E987"/>
      <c r="F987"/>
      <c r="G987"/>
      <c r="H987"/>
      <c r="I987"/>
      <c r="J987"/>
      <c r="K987"/>
      <c r="L987"/>
      <c r="M987"/>
      <c r="N987"/>
    </row>
    <row r="988" spans="2:14" s="95" customFormat="1" ht="14.25" customHeight="1" x14ac:dyDescent="0.25">
      <c r="B988"/>
      <c r="C988"/>
      <c r="D988"/>
      <c r="E988"/>
      <c r="F988"/>
      <c r="G988"/>
      <c r="H988"/>
      <c r="I988"/>
      <c r="J988"/>
      <c r="K988"/>
      <c r="L988"/>
      <c r="M988"/>
      <c r="N988"/>
    </row>
    <row r="989" spans="2:14" s="95" customFormat="1" ht="14.25" customHeight="1" x14ac:dyDescent="0.25">
      <c r="B989"/>
      <c r="C989"/>
      <c r="D989"/>
      <c r="E989"/>
      <c r="F989"/>
      <c r="G989"/>
      <c r="H989"/>
      <c r="I989"/>
      <c r="J989"/>
      <c r="K989"/>
      <c r="L989"/>
      <c r="M989"/>
      <c r="N989"/>
    </row>
    <row r="990" spans="2:14" s="95" customFormat="1" ht="14.25" customHeight="1" x14ac:dyDescent="0.25">
      <c r="B990"/>
      <c r="C990"/>
      <c r="D990"/>
      <c r="E990"/>
      <c r="F990"/>
      <c r="G990"/>
      <c r="H990"/>
      <c r="I990"/>
      <c r="J990"/>
      <c r="K990"/>
      <c r="L990"/>
      <c r="M990"/>
      <c r="N990"/>
    </row>
    <row r="991" spans="2:14" s="95" customFormat="1" ht="14.25" customHeight="1" x14ac:dyDescent="0.25">
      <c r="B991"/>
      <c r="C991"/>
      <c r="D991"/>
      <c r="E991"/>
      <c r="F991"/>
      <c r="G991"/>
      <c r="H991"/>
      <c r="I991"/>
      <c r="J991"/>
      <c r="K991"/>
      <c r="L991"/>
      <c r="M991"/>
      <c r="N991"/>
    </row>
    <row r="992" spans="2:14" s="95" customFormat="1" ht="14.25" customHeight="1" x14ac:dyDescent="0.25">
      <c r="B992"/>
      <c r="C992"/>
      <c r="D992"/>
      <c r="E992"/>
      <c r="F992"/>
      <c r="G992"/>
      <c r="H992"/>
      <c r="I992"/>
      <c r="J992"/>
      <c r="K992"/>
      <c r="L992"/>
      <c r="M992"/>
      <c r="N992"/>
    </row>
    <row r="993" spans="2:14" s="95" customFormat="1" ht="14.25" customHeight="1" x14ac:dyDescent="0.25">
      <c r="B993"/>
      <c r="C993"/>
      <c r="D993"/>
      <c r="E993"/>
      <c r="F993"/>
      <c r="G993"/>
      <c r="H993"/>
      <c r="I993"/>
      <c r="J993"/>
      <c r="K993"/>
      <c r="L993"/>
      <c r="M993"/>
      <c r="N993"/>
    </row>
    <row r="994" spans="2:14" s="95" customFormat="1" ht="14.25" customHeight="1" x14ac:dyDescent="0.25">
      <c r="B994"/>
      <c r="C994"/>
      <c r="D994"/>
      <c r="E994"/>
      <c r="F994"/>
      <c r="G994"/>
      <c r="H994"/>
      <c r="I994"/>
      <c r="J994"/>
      <c r="K994"/>
      <c r="L994"/>
      <c r="M994"/>
      <c r="N994"/>
    </row>
    <row r="995" spans="2:14" s="95" customFormat="1" ht="14.25" customHeight="1" x14ac:dyDescent="0.25">
      <c r="B995"/>
      <c r="C995"/>
      <c r="D995"/>
      <c r="E995"/>
      <c r="F995"/>
      <c r="G995"/>
      <c r="H995"/>
      <c r="I995"/>
      <c r="J995"/>
      <c r="K995"/>
      <c r="L995"/>
      <c r="M995"/>
      <c r="N995"/>
    </row>
    <row r="996" spans="2:14" s="95" customFormat="1" ht="14.25" customHeight="1" x14ac:dyDescent="0.25">
      <c r="B996"/>
      <c r="C996"/>
      <c r="D996"/>
      <c r="E996"/>
      <c r="F996"/>
      <c r="G996"/>
      <c r="H996"/>
      <c r="I996"/>
      <c r="J996"/>
      <c r="K996"/>
      <c r="L996"/>
      <c r="M996"/>
      <c r="N996"/>
    </row>
    <row r="997" spans="2:14" s="95" customFormat="1" ht="14.25" customHeight="1" x14ac:dyDescent="0.25">
      <c r="B997"/>
      <c r="C997"/>
      <c r="D997"/>
      <c r="E997"/>
      <c r="F997"/>
      <c r="G997"/>
      <c r="H997"/>
      <c r="I997"/>
      <c r="J997"/>
      <c r="K997"/>
      <c r="L997"/>
      <c r="M997"/>
      <c r="N997"/>
    </row>
    <row r="998" spans="2:14" s="95" customFormat="1" ht="14.25" customHeight="1" x14ac:dyDescent="0.25">
      <c r="B998"/>
      <c r="C998"/>
      <c r="D998"/>
      <c r="E998"/>
      <c r="F998"/>
      <c r="G998"/>
      <c r="H998"/>
      <c r="I998"/>
      <c r="J998"/>
      <c r="K998"/>
      <c r="L998"/>
      <c r="M998"/>
      <c r="N998"/>
    </row>
    <row r="999" spans="2:14" s="95" customFormat="1" ht="14.25" customHeight="1" x14ac:dyDescent="0.25">
      <c r="B999"/>
      <c r="C999"/>
      <c r="D999"/>
      <c r="E999"/>
      <c r="F999"/>
      <c r="G999"/>
      <c r="H999"/>
      <c r="I999"/>
      <c r="J999"/>
      <c r="K999"/>
      <c r="L999"/>
      <c r="M999"/>
      <c r="N999"/>
    </row>
    <row r="1000" spans="2:14" s="95" customFormat="1" ht="14.25" customHeight="1" x14ac:dyDescent="0.25">
      <c r="B1000"/>
      <c r="C1000"/>
      <c r="D1000"/>
      <c r="E1000"/>
      <c r="F1000"/>
      <c r="G1000"/>
      <c r="H1000"/>
      <c r="I1000"/>
      <c r="J1000"/>
      <c r="K1000"/>
      <c r="L1000"/>
      <c r="M1000"/>
      <c r="N1000"/>
    </row>
    <row r="1001" spans="2:14" s="95" customFormat="1" ht="14.25" customHeight="1" x14ac:dyDescent="0.25">
      <c r="B1001"/>
      <c r="C1001"/>
      <c r="D1001"/>
      <c r="E1001"/>
      <c r="F1001"/>
      <c r="G1001"/>
      <c r="H1001"/>
      <c r="I1001"/>
      <c r="J1001"/>
      <c r="K1001"/>
      <c r="L1001"/>
      <c r="M1001"/>
      <c r="N1001"/>
    </row>
    <row r="1002" spans="2:14" s="95" customFormat="1" ht="14.25" customHeight="1" x14ac:dyDescent="0.25">
      <c r="B1002"/>
      <c r="C1002"/>
      <c r="D1002"/>
      <c r="E1002"/>
      <c r="F1002"/>
      <c r="G1002"/>
      <c r="H1002"/>
      <c r="I1002"/>
      <c r="J1002"/>
      <c r="K1002"/>
      <c r="L1002"/>
      <c r="M1002"/>
      <c r="N1002"/>
    </row>
  </sheetData>
  <mergeCells count="13">
    <mergeCell ref="A3:J3"/>
    <mergeCell ref="E1:F1"/>
    <mergeCell ref="I1:J1"/>
    <mergeCell ref="E2:F2"/>
    <mergeCell ref="I2:J2"/>
    <mergeCell ref="A306:C306"/>
    <mergeCell ref="A308:J308"/>
    <mergeCell ref="L303:M303"/>
    <mergeCell ref="L304:M304"/>
    <mergeCell ref="D306:M306"/>
    <mergeCell ref="A303:C303"/>
    <mergeCell ref="A304:C304"/>
    <mergeCell ref="F304:G304"/>
  </mergeCells>
  <printOptions horizontalCentered="1"/>
  <pageMargins left="0.19685039370078741" right="0.19685039370078741" top="0.39370078740157483" bottom="0.78740157480314965" header="0" footer="0"/>
  <pageSetup paperSize="9" scale="62" orientation="portrait" r:id="rId1"/>
  <headerFooter>
    <oddHeader>&amp;L</oddHeader>
    <oddFooter>&amp;L &amp;CResponsável técnica: Anna Gabriela Fechine - CREA: 161574308-1 &amp;R&amp;P/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11</vt:i4>
      </vt:variant>
    </vt:vector>
  </HeadingPairs>
  <TitlesOfParts>
    <vt:vector size="19" baseType="lpstr">
      <vt:lpstr>Orçamento Sintético</vt:lpstr>
      <vt:lpstr>BM 03</vt:lpstr>
      <vt:lpstr>MEMORIA DE CALCULO</vt:lpstr>
      <vt:lpstr>FOTOGRÁFICO</vt:lpstr>
      <vt:lpstr>BM 04</vt:lpstr>
      <vt:lpstr>MEMORIA DE CALCULO BM04</vt:lpstr>
      <vt:lpstr>FOTOGRÁFICO BM04</vt:lpstr>
      <vt:lpstr>REAJUSTE</vt:lpstr>
      <vt:lpstr>'BM 03'!Area_de_impressao</vt:lpstr>
      <vt:lpstr>'BM 04'!Area_de_impressao</vt:lpstr>
      <vt:lpstr>FOTOGRÁFICO!Area_de_impressao</vt:lpstr>
      <vt:lpstr>'FOTOGRÁFICO BM04'!Area_de_impressao</vt:lpstr>
      <vt:lpstr>'MEMORIA DE CALCULO'!Area_de_impressao</vt:lpstr>
      <vt:lpstr>'MEMORIA DE CALCULO BM04'!Area_de_impressao</vt:lpstr>
      <vt:lpstr>'Orçamento Sintético'!Area_de_impressao</vt:lpstr>
      <vt:lpstr>'BM 03'!Titulos_de_impressao</vt:lpstr>
      <vt:lpstr>'BM 04'!Titulos_de_impressao</vt:lpstr>
      <vt:lpstr>FOTOGRÁFICO!Titulos_de_impressao</vt:lpstr>
      <vt:lpstr>'FOTOGRÁFICO BM04'!Titulos_de_impressao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Regis</cp:lastModifiedBy>
  <cp:lastPrinted>2025-07-14T19:00:06Z</cp:lastPrinted>
  <dcterms:created xsi:type="dcterms:W3CDTF">2024-08-02T14:05:01Z</dcterms:created>
  <dcterms:modified xsi:type="dcterms:W3CDTF">2025-08-25T15:19:52Z</dcterms:modified>
</cp:coreProperties>
</file>